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kisslajos/Desktop/névtelen mappa/MONON_2026_I_féléves_beszámoló_/könyvvizsgáló után/"/>
    </mc:Choice>
  </mc:AlternateContent>
  <xr:revisionPtr revIDLastSave="0" documentId="13_ncr:1_{1B5CF333-6F07-564C-9479-CB9492A7B174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eredmény" sheetId="1" r:id="rId1"/>
    <sheet name="iparűzési adó" sheetId="2" r:id="rId2"/>
    <sheet name="ta" sheetId="3" r:id="rId3"/>
    <sheet name="elvart" sheetId="4" r:id="rId4"/>
    <sheet name="Munka1" sheetId="5" r:id="rId5"/>
  </sheets>
  <externalReferences>
    <externalReference r:id="rId6"/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18" i="4" l="1"/>
  <c r="F22" i="4" s="1"/>
  <c r="F15" i="4"/>
  <c r="F10" i="4"/>
  <c r="F9" i="4"/>
  <c r="E67" i="3"/>
  <c r="E68" i="3" s="1"/>
  <c r="E69" i="3" s="1"/>
  <c r="E64" i="3"/>
  <c r="E15" i="3"/>
  <c r="B38" i="2"/>
  <c r="D37" i="2"/>
  <c r="G37" i="2" s="1"/>
  <c r="G36" i="2"/>
  <c r="D36" i="2"/>
  <c r="D35" i="2"/>
  <c r="G35" i="2" s="1"/>
  <c r="D34" i="2"/>
  <c r="G34" i="2" s="1"/>
  <c r="G27" i="2"/>
  <c r="G21" i="2"/>
  <c r="G15" i="2"/>
  <c r="G16" i="2" s="1"/>
  <c r="G6" i="2"/>
  <c r="G11" i="2" s="1"/>
  <c r="G17" i="2" s="1"/>
  <c r="G28" i="2" s="1"/>
  <c r="D33" i="2" s="1"/>
  <c r="G33" i="2" s="1"/>
  <c r="G38" i="2" s="1"/>
  <c r="G40" i="2" s="1"/>
  <c r="E1" i="2"/>
  <c r="A1" i="2"/>
  <c r="J39" i="1"/>
  <c r="F39" i="1"/>
  <c r="K37" i="1"/>
  <c r="K33" i="1"/>
  <c r="G33" i="1"/>
  <c r="I31" i="1"/>
  <c r="I27" i="1"/>
  <c r="K27" i="1" s="1"/>
  <c r="K26" i="1"/>
  <c r="I25" i="1"/>
  <c r="F25" i="1"/>
  <c r="S22" i="1"/>
  <c r="Q20" i="1"/>
  <c r="Q23" i="1" s="1"/>
  <c r="Q24" i="1" s="1"/>
  <c r="N20" i="1"/>
  <c r="N23" i="1" s="1"/>
  <c r="F20" i="1"/>
  <c r="G20" i="1" s="1"/>
  <c r="K20" i="1" s="1"/>
  <c r="O18" i="1"/>
  <c r="O23" i="1" s="1"/>
  <c r="N18" i="1"/>
  <c r="G18" i="1"/>
  <c r="K18" i="1" s="1"/>
  <c r="E14" i="3" s="1"/>
  <c r="E63" i="3" s="1"/>
  <c r="S16" i="1"/>
  <c r="N16" i="1"/>
  <c r="E16" i="1"/>
  <c r="F14" i="1"/>
  <c r="G14" i="1" s="1"/>
  <c r="K14" i="1" s="1"/>
  <c r="G13" i="1"/>
  <c r="K13" i="1" s="1"/>
  <c r="G12" i="1"/>
  <c r="K12" i="1" s="1"/>
  <c r="F11" i="1"/>
  <c r="G11" i="1" s="1"/>
  <c r="K11" i="1" s="1"/>
  <c r="J10" i="1"/>
  <c r="J23" i="1" s="1"/>
  <c r="J29" i="1" s="1"/>
  <c r="J35" i="1" s="1"/>
  <c r="J41" i="1" s="1"/>
  <c r="I10" i="1"/>
  <c r="I23" i="1" s="1"/>
  <c r="I29" i="1" s="1"/>
  <c r="I35" i="1" s="1"/>
  <c r="I41" i="1" s="1"/>
  <c r="H10" i="1"/>
  <c r="H23" i="1" s="1"/>
  <c r="H29" i="1" s="1"/>
  <c r="H35" i="1" s="1"/>
  <c r="H41" i="1" s="1"/>
  <c r="F10" i="1"/>
  <c r="E10" i="1"/>
  <c r="G8" i="1"/>
  <c r="K8" i="1" s="1"/>
  <c r="F6" i="1"/>
  <c r="G6" i="1" s="1"/>
  <c r="F4" i="1"/>
  <c r="F16" i="1" l="1"/>
  <c r="G10" i="1"/>
  <c r="K10" i="1" s="1"/>
  <c r="E23" i="1"/>
  <c r="K6" i="1"/>
  <c r="F8" i="4" s="1"/>
  <c r="F23" i="1"/>
  <c r="F29" i="1" s="1"/>
  <c r="G4" i="1"/>
  <c r="G23" i="1" l="1"/>
  <c r="K23" i="1" s="1"/>
  <c r="K4" i="1"/>
  <c r="U16" i="1"/>
  <c r="G16" i="1"/>
  <c r="E26" i="1"/>
  <c r="E25" i="1" s="1"/>
  <c r="E27" i="1"/>
  <c r="E32" i="1"/>
  <c r="E31" i="1" s="1"/>
  <c r="G31" i="1" s="1"/>
  <c r="K31" i="1" s="1"/>
  <c r="F32" i="1"/>
  <c r="F31" i="1" s="1"/>
  <c r="F35" i="1" s="1"/>
  <c r="F41" i="1" s="1"/>
  <c r="L7" i="1" l="1"/>
  <c r="F7" i="4"/>
  <c r="F11" i="4" s="1"/>
  <c r="F23" i="4" s="1"/>
  <c r="F26" i="4" s="1"/>
  <c r="F27" i="4" s="1"/>
  <c r="K16" i="1"/>
  <c r="L20" i="1"/>
  <c r="G25" i="1"/>
  <c r="K25" i="1" s="1"/>
  <c r="E29" i="1"/>
  <c r="L8" i="1" l="1"/>
  <c r="M7" i="1"/>
  <c r="E35" i="1"/>
  <c r="G29" i="1"/>
  <c r="K29" i="1" s="1"/>
  <c r="K35" i="1" s="1"/>
  <c r="G35" i="1" l="1"/>
  <c r="E8" i="3" s="1"/>
  <c r="F24" i="4"/>
  <c r="E65" i="3" l="1"/>
  <c r="F25" i="4" l="1"/>
  <c r="E70" i="3"/>
  <c r="F29" i="4" l="1"/>
  <c r="F28" i="4"/>
  <c r="C29" i="4"/>
  <c r="E72" i="3"/>
  <c r="E71" i="3"/>
  <c r="G71" i="3" l="1"/>
  <c r="E73" i="3"/>
  <c r="E74" i="3" s="1"/>
  <c r="E76" i="3"/>
  <c r="E77" i="3" l="1"/>
  <c r="E39" i="1" l="1"/>
  <c r="K39" i="1"/>
  <c r="K41" i="1" s="1"/>
  <c r="E78" i="3"/>
  <c r="E41" i="1" l="1"/>
  <c r="G41" i="1" s="1"/>
  <c r="G39" i="1"/>
</calcChain>
</file>

<file path=xl/sharedStrings.xml><?xml version="1.0" encoding="utf-8"?>
<sst xmlns="http://schemas.openxmlformats.org/spreadsheetml/2006/main" count="356" uniqueCount="243">
  <si>
    <t>MOGYORÓD NONOROFIT KFT</t>
  </si>
  <si>
    <t>EFT-BAN</t>
  </si>
  <si>
    <t>2025.12.31. VÁLLALKOZÁSI TEV.</t>
  </si>
  <si>
    <t>2025.12.31. KÖZHASZNÚ TEV.</t>
  </si>
  <si>
    <t>2025.12.31 ÖSSZESEN.</t>
  </si>
  <si>
    <t xml:space="preserve"> VÁLLALKOZÁSI TEV.</t>
  </si>
  <si>
    <t>KÖZHASZNÚ TEV.</t>
  </si>
  <si>
    <t>EGYÉB</t>
  </si>
  <si>
    <t>2017.évi</t>
  </si>
  <si>
    <t>Nettó árbevétel</t>
  </si>
  <si>
    <t xml:space="preserve"> </t>
  </si>
  <si>
    <t>Egyéb bevétel</t>
  </si>
  <si>
    <t>Aktivált saját t. értéke</t>
  </si>
  <si>
    <t>Anyagjellegű ráfordítások</t>
  </si>
  <si>
    <t>anyagköltség</t>
  </si>
  <si>
    <t>eladott áruk /szolg.beszerzési értéke</t>
  </si>
  <si>
    <t>igénybe vett szolgáltatás</t>
  </si>
  <si>
    <t>egyéb a. költség</t>
  </si>
  <si>
    <t>Személyi jell. Ráfordítások</t>
  </si>
  <si>
    <t>Értékcsökkenési leírás</t>
  </si>
  <si>
    <t>Egyéb ráfordítások</t>
  </si>
  <si>
    <t>iparűzési adó</t>
  </si>
  <si>
    <t>Üzemi eredmény</t>
  </si>
  <si>
    <t>Pénzügyi eredmény</t>
  </si>
  <si>
    <t>Pénzügyi műveletek bevétele</t>
  </si>
  <si>
    <t>Pénzügyi műveletek ráfordításai</t>
  </si>
  <si>
    <t>Szokásos Váll. Eredmény</t>
  </si>
  <si>
    <t>Adózás előtti eredmény</t>
  </si>
  <si>
    <t>Adófizetési kötelezettség</t>
  </si>
  <si>
    <t>Korr. Adófizetési kötelezettség</t>
  </si>
  <si>
    <t>(ELVÁRT ADÓ)</t>
  </si>
  <si>
    <t>Adózott eredmény</t>
  </si>
  <si>
    <t>M13-06</t>
  </si>
  <si>
    <t xml:space="preserve">IPARŰZÉSI ADÓ ELLENŐRZÉSE
1990. évi C. tv.
</t>
  </si>
  <si>
    <t>MEGNEVEZÉS</t>
  </si>
  <si>
    <t>§</t>
  </si>
  <si>
    <t xml:space="preserve">ÖSSZEG (Ft)                     </t>
  </si>
  <si>
    <t>ÉRTÉKESÍTÉS NETTÓ ÁRBEVÉTELE (***)</t>
  </si>
  <si>
    <r>
      <rPr>
        <sz val="12"/>
        <color rgb="FF000000"/>
        <rFont val="Garamond"/>
        <family val="1"/>
      </rPr>
      <t xml:space="preserve">Számviteli törvény szerinti nettó árbevétel, 
</t>
    </r>
    <r>
      <rPr>
        <b/>
        <u/>
        <sz val="12"/>
        <color rgb="FF000000"/>
        <rFont val="Garamond"/>
        <family val="1"/>
      </rPr>
      <t>CSÖKKENTVE:</t>
    </r>
  </si>
  <si>
    <t>39. § (1), 
52. § 22.a)</t>
  </si>
  <si>
    <t>A társasági adóról, és osztalékadóról szóló törvény szerinti jogdíjból származó, árbevételként elszámolt ellenértékkel</t>
  </si>
  <si>
    <t>Egyéb szolgáltatások értékeként, ill. egyéb ráfordítások között kimutatott, adóhatósággal elszámolt jövedéki adó összeggel</t>
  </si>
  <si>
    <t>Egyéb ráfordítások között kimutatott, az adóhatósággal elszámolt regisztrációs adó, energia adó összeggel</t>
  </si>
  <si>
    <t>Felszolgálási díj árbevételével (külön jogszabály szerint)</t>
  </si>
  <si>
    <t>ÖSSZESEN:</t>
  </si>
  <si>
    <t>ADÓALAPOT CSÖKKENTŐ TÉTELEK</t>
  </si>
  <si>
    <t xml:space="preserve">Eladott áruk beszerzési értéke </t>
  </si>
  <si>
    <t>39. § (1), 
52. § 36.</t>
  </si>
  <si>
    <t xml:space="preserve">Közvetített szolgáltatások értéke </t>
  </si>
  <si>
    <t>39. § (1), 
52. § 40.</t>
  </si>
  <si>
    <t>Anyagköltség</t>
  </si>
  <si>
    <t>39. § (1), 
52. § 37., 38.</t>
  </si>
  <si>
    <t>VÁLLALKOZÁSI SZINTŰ IPARŰZÉSI ADÓ ALAPJA:</t>
  </si>
  <si>
    <t>ADÓALAP MENTESSÉG</t>
  </si>
  <si>
    <t>A foglalkoztatás növeléséhez kapcsolódó adóalap-menteség összege</t>
  </si>
  <si>
    <t>39/D. § (1)-(6)</t>
  </si>
  <si>
    <t>Külföldön létesített telephelyen végzett tevékenységre jutó adóalap-mentesség</t>
  </si>
  <si>
    <t>39. § (1)</t>
  </si>
  <si>
    <t>ADÓALAP KEDVEZMÉNY</t>
  </si>
  <si>
    <t>39/C. § (1)-(3)</t>
  </si>
  <si>
    <t>IPARŰZÉSI ADÓ ALAPJA:</t>
  </si>
  <si>
    <t>Telephelyek megnevezése 
(52. § 31.)</t>
  </si>
  <si>
    <t>Adóalap felosztási %-a *
(Függelék)</t>
  </si>
  <si>
    <t>Adó mértéke (%)**</t>
  </si>
  <si>
    <t>Helyi iparűzési adó összege             Ft</t>
  </si>
  <si>
    <t>ADÓ-KEDVEZMÉNY</t>
  </si>
  <si>
    <t xml:space="preserve">Fizetendő adó </t>
  </si>
  <si>
    <t>MOGYORÓD</t>
  </si>
  <si>
    <t>IPARŰZÉSI ADÓ ÖSSZESEN:</t>
  </si>
  <si>
    <t>Könyvelt</t>
  </si>
  <si>
    <t>Eltérés</t>
  </si>
  <si>
    <t xml:space="preserve">M13-03  TÁRSASÁGI ADÓ </t>
  </si>
  <si>
    <t>1996. évi LXXXI. tv.  (2010.08.16-i állapot szerint)</t>
  </si>
  <si>
    <t>Adatok ezer Ft-ra kerekítve</t>
  </si>
  <si>
    <t xml:space="preserve">Megnevezés </t>
  </si>
  <si>
    <t>Eredmény-
kimutatás</t>
  </si>
  <si>
    <t xml:space="preserve">Adózás előtti eredmény </t>
  </si>
  <si>
    <t xml:space="preserve">E </t>
  </si>
  <si>
    <t>Adóalap módosító tételek</t>
  </si>
  <si>
    <t xml:space="preserve">Korábbi évek elhatárolt veszteségéből felhasználás </t>
  </si>
  <si>
    <t>[7.§ (1) a); 16.§ (5); 17.§; 29.§ (2); 29/C.§ (8); 29/F.§ (2)]</t>
  </si>
  <si>
    <t>-</t>
  </si>
  <si>
    <t>(A tárgyévi felhasználás után még továbbvihető veszteség)</t>
  </si>
  <si>
    <t>[17. §]</t>
  </si>
  <si>
    <t xml:space="preserve">Várható kötelezettségekre, a jövőbeni költségekre képzett adóévben ráfordításként elszámolt céltartalék </t>
  </si>
  <si>
    <t>[8.§ (1) a)]</t>
  </si>
  <si>
    <t>+</t>
  </si>
  <si>
    <t>Várható kötelezettségekre, költségekre képzett céltartalék felhasználása miatt adóévben bevételként elszámolt összeg</t>
  </si>
  <si>
    <t>[7.§ (1) b)]</t>
  </si>
  <si>
    <t>Számviteli törvény szerinti terv szerinti értékcsökkenés</t>
  </si>
  <si>
    <t>[8.§ (1) b)]</t>
  </si>
  <si>
    <t>Számviteli törvény szerinti terven felüli értékcsökkenés</t>
  </si>
  <si>
    <t xml:space="preserve">Számviteli törvény szerinti tárgyi eszköz állományból kivezetett, átsorolt eszköz 
könyv szerinti értéke </t>
  </si>
  <si>
    <t xml:space="preserve">Társasági adó törvény szerinti adóévre elszámolható értékcsökkenés </t>
  </si>
  <si>
    <t>[7.§ (1) d); 1. és 2.számú melléklet]</t>
  </si>
  <si>
    <t xml:space="preserve">Társasági adó törvény szerint tárgyi eszköz állományból kivezetett, átsorolt eszköz számított nyilvántartási értéke </t>
  </si>
  <si>
    <t>Társasági adó törvény szerinti terven felüli értékcsökkenés visszaírása az adóévben figyelemmel a törvényben meghatározott kivételekre</t>
  </si>
  <si>
    <t>[7.§ (1) cs)]</t>
  </si>
  <si>
    <t>Fejlesztési tartalék adóévben képzett összege, maximum az adózás előtti eredmény 50 százaléka, és legfeljebb 500 millió forint</t>
  </si>
  <si>
    <t>[7.§ (1) f); 7.§ (15); 16.§ (1) a); 29./I. § (5)]</t>
  </si>
  <si>
    <t>Ráfordításként elszámolt jogerős bírság, Art. és Tb-törvények szerinti jogkövetkezmények az önellenőrzési pótlék kivételével</t>
  </si>
  <si>
    <t>[8.§ (1) e)]</t>
  </si>
  <si>
    <t>Elengedett – az adóévben vagy az előző években adóalapot növelő tételként beállított, bevételként elszámolt Art. és Tb-törvényekben előírt jogkövetkezmények</t>
  </si>
  <si>
    <t>[7.§ (1) r)]</t>
  </si>
  <si>
    <t xml:space="preserve">Adóévben követelésre elszámolt értékvesztés </t>
  </si>
  <si>
    <t>[8.§ (1) gy)]</t>
  </si>
  <si>
    <t>Követelésre adóévben visszaírt értékvesztés, valamint a tulajdoni részesedésre visszaírt értékvesztés, ha azt az adózó korábban adózás előtti eredményt növelő tételként vette számításba, amelyet az erre vonatkozó adóbevallással és az azt alátámasztó kimutatásokkal igazol.</t>
  </si>
  <si>
    <t>[7.§ (1) n), q); 16.§ (2) i)]</t>
  </si>
  <si>
    <t>Behajthatatlan követelésnek nem minősülő adóévben elengedett követelés</t>
  </si>
  <si>
    <t>[8.§ (1) h)]</t>
  </si>
  <si>
    <t>A követelés behajthatatlanná válásakor a behajthatatlan rész, legfeljebb a  korábban növelő tételként elszámolt és még le nem vont értékvesztés</t>
  </si>
  <si>
    <t>[7.§ (1) n); 16.§ (2) i)]</t>
  </si>
  <si>
    <t>A követelés átruházásakor, kiegyenlítésekor, beszámításakor elszámolandó összeg, de legfeljebb a nyilvántartott értékvesztés</t>
  </si>
  <si>
    <t>Adomány, támogatás meghatározott összege</t>
  </si>
  <si>
    <t>[7.§ (1) z); (7); 29/C.§ (7)]</t>
  </si>
  <si>
    <t>Adóellenőrzés, önellenőrzés során megállapított adóévi költségként, ráfordításként vagy nettó árbevétel és bevétel, aktivált saját teljesítmény csökkentéseként elszámolt összeg</t>
  </si>
  <si>
    <t>[8.§ (1) p)]</t>
  </si>
  <si>
    <t>Adóellenőrzés, önellenőrzés során megállapított nettó árbevételként, bevételként vagy aktivált saját teljesítmény növeléseként, költség, ráfordítás csökkenéseként elszámolt összeg</t>
  </si>
  <si>
    <t>[7.§ (1) u)]</t>
  </si>
  <si>
    <t>Kapott (járó) osztalék, részesedés (a törvényben meghatározott kivételekkel)</t>
  </si>
  <si>
    <t xml:space="preserve">[7.§ (1) g), gy);  4.§ 11.] </t>
  </si>
  <si>
    <t>Ellenőrzött külföldi társaságban fennálló részesedésre jutó fel nem osztott nyereség</t>
  </si>
  <si>
    <t>[8.§ (1) f)]</t>
  </si>
  <si>
    <t>Szakképző iskolai tanuló kedvezménye</t>
  </si>
  <si>
    <t>[7.§ (1) i)]</t>
  </si>
  <si>
    <t>Megváltozott munkaképességűek foglalkoztatási kedvezménye</t>
  </si>
  <si>
    <t>[7.§ (1) v)]</t>
  </si>
  <si>
    <t xml:space="preserve">Kis- és középvállalkozások által igénybe vett beruházási kedvezmény </t>
  </si>
  <si>
    <t>[7.§ (1) zs); (11)-(12); 4.§ 18., 34/a)]</t>
  </si>
  <si>
    <t>Beruházás,szellemi termék értékéből meghatározott esetekben az elszámolt összeg kétszerese</t>
  </si>
  <si>
    <t>[8.§ (1) u)]</t>
  </si>
  <si>
    <t>Kapcsolt vállalkozások között a szokásos piaci ár és az alkalmazott ellenérték alapján számított különbözetnek megfelelő összeg</t>
  </si>
  <si>
    <t>[18.§ (1) b); 4.§ 23.]</t>
  </si>
  <si>
    <t>Kapcsolt vállalkozások között a szokásos piaci ár és az alkalmazott ellenérték különbségének megfelelő összeg</t>
  </si>
  <si>
    <t>[18.§ (1) a); 4.§ 23.]</t>
  </si>
  <si>
    <t>Nem a vállalkozás érdekében felmerült, költségként, ráfordításként elszámolt összeg</t>
  </si>
  <si>
    <t>[8.§ (1) d); 3.számú melléklet]</t>
  </si>
  <si>
    <t>2009. december 31-ig kapott támogatás, juttatás, elengedett kötelezettség miatt az adóévben bevételként elszámolt összeg meghatározott feltételek szerint.</t>
  </si>
  <si>
    <t>[29/I.§ (2)]</t>
  </si>
  <si>
    <t>Műemlék értékét növelő felújítás költsége</t>
  </si>
  <si>
    <t>[7.§ (1) ty)]</t>
  </si>
  <si>
    <t>Saját tőke háromszorosát meghaladó kötelezettség elszámolt kamatának arányos része (alultőkésítési szabály)</t>
  </si>
  <si>
    <t>[8.§ (1) j); 8.§ (2), (5)]</t>
  </si>
  <si>
    <t xml:space="preserve">A forintról devizára, devizáról forintra, vagy devizáról más devizára való áttérés során a tőketartalék növeléseként elszámolt átszámítási különbözetek összege az áttérést követő adóévben </t>
  </si>
  <si>
    <t>[8.§ (1) o)]</t>
  </si>
  <si>
    <t xml:space="preserve">A forintról devizára, devizáról forintra, vagy devizáról más devizára való áttérés következtében az eredménytartalék csökkentéseként  elszámolt átszámítási különbözetek összege az áttérést követő adóévben </t>
  </si>
  <si>
    <t>[7.§ (1) p)]</t>
  </si>
  <si>
    <t>Ellenőrzött külföldi társaságban lévő részesedésre vagy a bejelentett részesedéshez kapcsolódó korrekció</t>
  </si>
  <si>
    <t>[8.§ (1) m)]</t>
  </si>
  <si>
    <t>A bejelentett részesedésre az adóévben visszaírt értékvesztés, valamint értékesítésének adóévi árfolyamnyeresége</t>
  </si>
  <si>
    <t>[7.§ (1) dz)]</t>
  </si>
  <si>
    <t>Átalakulások, kedvezményezett részesedéscsere, kedvezményezett eszközátruházás miatti korrekciók</t>
  </si>
  <si>
    <t>[8. § (1) r),t) (7); 16.§ (2) d), (11)-(14)]</t>
  </si>
  <si>
    <t>[7.§ (1) h), gy); 7. § (10); 16.§ (2) d); (11)-(14); 4. § (11)]</t>
  </si>
  <si>
    <t>Tartós adományozás nem teljesülése miatti korrekciók</t>
  </si>
  <si>
    <t>[8.§ (1) s); 29/C.§ (7)]</t>
  </si>
  <si>
    <t>Létszámcsökkenés miatti korrekció</t>
  </si>
  <si>
    <t>[8.§ (1) v); 8.§.(6); 16.§ (1) ch)]</t>
  </si>
  <si>
    <t>Létszám növekmény miatti korrekció</t>
  </si>
  <si>
    <t>[7.§ (1) y);  7.§ (19), (20)]</t>
  </si>
  <si>
    <t>A külföldi pénzértékben fennálló egyes követelések és kötelezettségek értékelésekor megállapított, nem realizált veszteség jellegű árfolyamkülönbözet</t>
  </si>
  <si>
    <t>[8.§ (1) dzs); 7.§ (2)]</t>
  </si>
  <si>
    <t>A külföldi pénzértékben fennálló egyes követelések és kötelezettségek értékelésekor megállapított, nyereséget eredményező, nem realizált  árfolyamkülönbözet az adózó döntése szerint.</t>
  </si>
  <si>
    <t>[7.§ (1) dzs); (2)]</t>
  </si>
  <si>
    <t>Kapott jogdíj max. adózás előtti eredmény 50%-a</t>
  </si>
  <si>
    <t>[7.§ (1) s); 7.§ (14); 4.§ 20.]</t>
  </si>
  <si>
    <t>Tulajdoni részesedést jelentő befektetés kivezetése miatti csökkentő tétel a törvényben meghatározott kivételekkel</t>
  </si>
  <si>
    <t>[7.§ (1) gy); 7.§ (10), 4.§ (11)]</t>
  </si>
  <si>
    <t xml:space="preserve">Továbbfoglalkoztatott szakképző iskolai tanuló, munkanélküli foglalkoztatásának kedvezményei </t>
  </si>
  <si>
    <t>[7.§ (1) j); 7.§ (3); 
1998. évi LXVI. tv. 12.§ (5)]</t>
  </si>
  <si>
    <t>Képzőművészeti alkotás beszerzésére 2009.12.31-ig fordított összeg 1/5-öd része</t>
  </si>
  <si>
    <t>[29/I.§ (1)]</t>
  </si>
  <si>
    <t>Visszavásárolt saját üzletrész, részvény, részjegybevonás bevételének a bekerülési értékét meghaladó része</t>
  </si>
  <si>
    <t>[7.§ (1) m)]</t>
  </si>
  <si>
    <t>Az adózó által átruházott részesedésre elszámolt árfolyamnyereség</t>
  </si>
  <si>
    <t>[7.§ (1) w); 29/I.§ (4)]</t>
  </si>
  <si>
    <t>Az alapkutatás, az alkalmazott kutatás és a kísérleti fejlesztés adóévben felmerült közvetlen költségeként elszámolt, a kapott támogatással előírt feltételek szerint csökkentett összege</t>
  </si>
  <si>
    <t>[7.§ (1) t); (17); (18); 29/G.§ (2)]</t>
  </si>
  <si>
    <t xml:space="preserve">Egyéb adóalapot növelő tételek </t>
  </si>
  <si>
    <t xml:space="preserve">Egyéb adóalapot csökkentő tételek </t>
  </si>
  <si>
    <t xml:space="preserve">Adózás alapját növelő tételek összesen  </t>
  </si>
  <si>
    <t xml:space="preserve">Adózás alapját csökkentő tételek összesen  </t>
  </si>
  <si>
    <t>Adózás alapját képező eredmény (az adóév egészére megállapított adóalap)</t>
  </si>
  <si>
    <t>[6. §;  7.§;  8. §; 16. §; 18. §;  28. §]</t>
  </si>
  <si>
    <t>Arányos adóalap: 2010. január 1. - 2010. június 30.      (181 nap)</t>
  </si>
  <si>
    <t>[2010. évi XC. törvény 14.§; TAO tv. kiegészítése a 29/K §.-sal.]</t>
  </si>
  <si>
    <t xml:space="preserve"> - Adóalapból 10 %-kal adózó rész (50 mFt-ig)</t>
  </si>
  <si>
    <t xml:space="preserve"> - Adóalapból 19 %-kal adózó rész</t>
  </si>
  <si>
    <t>2010. június 30-áig számított társasági adó</t>
  </si>
  <si>
    <t>Arányos adóalap: 2010. július 1. - 2010. december 31.  (184 nap)</t>
  </si>
  <si>
    <t>[2010. évi XC. törvény 13.§ 14.§]</t>
  </si>
  <si>
    <t xml:space="preserve"> - Adóalapból 9 %-kal adózó rész (250 mFt-ig)</t>
  </si>
  <si>
    <t>2010. július 1-jétől az adóév végéig számított társasági adó</t>
  </si>
  <si>
    <t>Számított társasági adó az adóév egészére összesen</t>
  </si>
  <si>
    <t>Adókedvezmények</t>
  </si>
  <si>
    <t xml:space="preserve"> -</t>
  </si>
  <si>
    <t>Adómentesség</t>
  </si>
  <si>
    <t>[20. §]</t>
  </si>
  <si>
    <t xml:space="preserve">Fizetendő társasági adó </t>
  </si>
  <si>
    <t xml:space="preserve">Adózott eredmény </t>
  </si>
  <si>
    <t xml:space="preserve">Jövedelem-(nyereség-)minimum </t>
  </si>
  <si>
    <t>1996. évi LXXXI. tv.</t>
  </si>
  <si>
    <t>eFt</t>
  </si>
  <si>
    <t>Tárgyidőszaki adat</t>
  </si>
  <si>
    <t>Bevételek</t>
  </si>
  <si>
    <t>Értékesítés nettó árbevétele</t>
  </si>
  <si>
    <t xml:space="preserve">2000. évi C. tv. 72-75. §  </t>
  </si>
  <si>
    <t>Egyéb bevételek</t>
  </si>
  <si>
    <t xml:space="preserve">2000. évi C. tv 77. §  </t>
  </si>
  <si>
    <t xml:space="preserve">2000. évi C. tv 84. §  </t>
  </si>
  <si>
    <t>Rendkívüli bevételek</t>
  </si>
  <si>
    <t>2000. évi C. tv 86. §  (2)-(5) bekezdés</t>
  </si>
  <si>
    <t>Összes bevétel:</t>
  </si>
  <si>
    <t>4. § 4.29</t>
  </si>
  <si>
    <t>Bevételt növelő tételek:</t>
  </si>
  <si>
    <t>A jogelőd kedvezményezett átalakulására, illetve kedvezményezett részesedéscserére tekintettel a tag, a részvényes az általa csökkentő tételként figyelembe vett összegből a megszerzett részesedés bekerülési értéke csökkentéseként, könyv szerinti értéke kivezetéseként az adóévben bármely jogcímen elszámolt (de összesen legfeljebb a részesedésre az említett rendelkezés alapján csökkentő tételként figyelembe vett) összeg, továbbá jogutód nélküli megszűnésének adóévében az a rész, amelyet még nem számolt el növelő tételként.</t>
  </si>
  <si>
    <t>6.§ (9) a)</t>
  </si>
  <si>
    <t>Az átvevő társaság - az átruházó nyilatkozata alapján - az átruházónál az összes bevétel csökkentéseként figyelembe vett összegből az átvett tárgyi eszközökre és immateriális javakra a számviteli előírás alapján elszámolt értékcsökkenésnek az átvett eszközök bekerülési értéke arányában számított összeggel, továbbá jogutód nélküli megszűnésének adóévében a fennmaradó összeggel.</t>
  </si>
  <si>
    <t>6.§ (9) b)</t>
  </si>
  <si>
    <t>Bevételt növelő tételek összesen:</t>
  </si>
  <si>
    <t>Bevételt csökkentő tételek:</t>
  </si>
  <si>
    <t xml:space="preserve">az eladott áruk beszerzési értéke </t>
  </si>
  <si>
    <t>6.§ (8) a)</t>
  </si>
  <si>
    <t>eladott közvetített szolgáltatás értéke</t>
  </si>
  <si>
    <t>a jogelőd tagjánál, részvényesénél - a kedvezményezett átalakulással létrejött adózóban szerzett részesedés bekerülési értékeként - az adóévben elszámolt bevétel</t>
  </si>
  <si>
    <t>6.§ (8) b)</t>
  </si>
  <si>
    <t>az átruházó társaságnál kedvezményezett eszközátruházás esetén az önálló szervezeti egységének átruházása alapján az adóévben elszámolt bevétel</t>
  </si>
  <si>
    <t>6.§ (8) c)</t>
  </si>
  <si>
    <t>a megszerzett társaság tagjánál, részvényesénél a kedvezményezett részesedéscsere alapján kivezetett részesedésre az adóévben elszámolt árfolyamnyereség</t>
  </si>
  <si>
    <t>6.§ (8) d)</t>
  </si>
  <si>
    <t>Bevételt csökkentő tételek összesen:</t>
  </si>
  <si>
    <r>
      <rPr>
        <b/>
        <sz val="12"/>
        <color rgb="FF000000"/>
        <rFont val="Garamond"/>
        <family val="1"/>
      </rPr>
      <t>Korrigált összes bevétel
Figyelem!</t>
    </r>
    <r>
      <rPr>
        <sz val="12"/>
        <color rgb="FF000000"/>
        <rFont val="Garamond"/>
        <family val="1"/>
      </rPr>
      <t xml:space="preserve"> 
(A 6. § (5) bekezdés b pontja alapján a nemzetközi szerződések rendelkezése</t>
    </r>
    <r>
      <rPr>
        <sz val="12"/>
        <color rgb="FF000000"/>
        <rFont val="Arial"/>
        <family val="2"/>
      </rPr>
      <t>it figyelembe véve a külföldi telephely útján végzett tevékenység révén keletkezett, telephelynek betudható jövedelem-(nyereség)minimum nélküli jövedelem-(nyereség)minimum a korrigált bevétel.</t>
    </r>
  </si>
  <si>
    <t xml:space="preserve">6.§ (5) </t>
  </si>
  <si>
    <t xml:space="preserve">Társasági adóalap  </t>
  </si>
  <si>
    <t xml:space="preserve">6.§ (1) </t>
  </si>
  <si>
    <t>Jövedelem-(nyereség)minimum szerinti adóalap (korrigált bevétel 2%-a)</t>
  </si>
  <si>
    <t xml:space="preserve">6.§ (7) </t>
  </si>
  <si>
    <t>Jövedelem-(nyereség)minimum adóalapból 10 %-kal adózó rész</t>
  </si>
  <si>
    <t>Jövedelem-(nyereség)minimum adóalapból 16 %-kal adózó rész</t>
  </si>
  <si>
    <t>Adó összege (jövedelem-(nyereség)minimum alapján) (16% vagy 10/16%)</t>
  </si>
  <si>
    <t>2026.06.30. VÁLLALKOZÁSI TEV.</t>
  </si>
  <si>
    <t>2026.06.30. KÖZHASZNÚ TEV.</t>
  </si>
  <si>
    <t>2026.06.30 ÖSSZESEN.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</si>
</sst>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/mm/dd/"/>
    <numFmt numFmtId="165" formatCode="_-* #,##0.00\ _F_t_-;\-* #,##0.00\ _F_t_-;_-* \-??\ _F_t_-;_-@_-"/>
    <numFmt numFmtId="166" formatCode="_-* #,##0\ _F_t_._-;\-* #,##0\ _F_t_._-;_-* \-??\ _F_t_._-;_-@_-"/>
    <numFmt numFmtId="167" formatCode="_-* #,##0.0\ _F_t_._-;\-* #,##0.0\ _F_t_._-;_-* \-??\ _F_t_._-;_-@_-"/>
    <numFmt numFmtId="168" formatCode="_-* #,##0\ _F_t_-;\-* #,##0\ _F_t_-;_-* &quot;- &quot;_F_t_-;_-@_-"/>
  </numFmts>
  <fonts count="37">
    <font>
      <sz val="10"/>
      <name val="Arial CE"/>
    </font>
    <font>
      <sz val="11"/>
      <color rgb="FF003366"/>
      <name val="Garamond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2"/>
    </font>
    <font>
      <b/>
      <sz val="12"/>
      <color rgb="FF000000"/>
      <name val="Garamond"/>
      <family val="1"/>
    </font>
    <font>
      <sz val="12"/>
      <color rgb="FF000000"/>
      <name val="Garamond"/>
      <family val="1"/>
    </font>
    <font>
      <b/>
      <sz val="16"/>
      <color rgb="FF000000"/>
      <name val="Garamond"/>
      <family val="1"/>
    </font>
    <font>
      <b/>
      <u/>
      <sz val="12"/>
      <color rgb="FF000000"/>
      <name val="Garamond"/>
      <family val="1"/>
    </font>
    <font>
      <sz val="11"/>
      <color rgb="FF000000"/>
      <name val="Garamond"/>
      <family val="1"/>
    </font>
    <font>
      <sz val="10"/>
      <color rgb="FF000000"/>
      <name val="Garamond"/>
      <family val="1"/>
    </font>
    <font>
      <b/>
      <sz val="10"/>
      <color rgb="FF000000"/>
      <name val="Garamond"/>
      <family val="1"/>
    </font>
    <font>
      <b/>
      <sz val="11"/>
      <color rgb="FF000000"/>
      <name val="Garamond"/>
      <family val="1"/>
    </font>
    <font>
      <b/>
      <sz val="14"/>
      <color rgb="FF000000"/>
      <name val="Garamond"/>
      <family val="1"/>
    </font>
    <font>
      <sz val="12"/>
      <color rgb="FF003366"/>
      <name val="Arial CE"/>
      <family val="2"/>
    </font>
    <font>
      <b/>
      <sz val="12"/>
      <color rgb="FF003366"/>
      <name val="Arial CE"/>
      <family val="2"/>
    </font>
    <font>
      <b/>
      <sz val="10"/>
      <color rgb="FF003366"/>
      <name val="Arial CE"/>
      <family val="2"/>
    </font>
    <font>
      <b/>
      <sz val="18"/>
      <color rgb="FF003366"/>
      <name val="Arial CE"/>
      <family val="2"/>
    </font>
    <font>
      <b/>
      <sz val="12"/>
      <color rgb="FF003366"/>
      <name val="Garamond"/>
      <family val="1"/>
    </font>
    <font>
      <sz val="10"/>
      <color rgb="FF003366"/>
      <name val="Arial CE"/>
      <family val="2"/>
    </font>
    <font>
      <b/>
      <sz val="10"/>
      <color rgb="FF003366"/>
      <name val="Arial CE"/>
    </font>
    <font>
      <sz val="10"/>
      <color rgb="FF003366"/>
      <name val="Arial CE"/>
    </font>
    <font>
      <b/>
      <sz val="11"/>
      <color rgb="FF003366"/>
      <name val="Arial CE"/>
      <family val="2"/>
    </font>
    <font>
      <b/>
      <u/>
      <sz val="12"/>
      <color rgb="FF003366"/>
      <name val="Arial CE"/>
      <family val="2"/>
    </font>
    <font>
      <sz val="11"/>
      <color rgb="FF003366"/>
      <name val="Arial CE"/>
      <family val="2"/>
    </font>
    <font>
      <b/>
      <sz val="12"/>
      <color rgb="FF003366"/>
      <name val="Arial CE"/>
    </font>
    <font>
      <sz val="12"/>
      <color rgb="FF003366"/>
      <name val="Arial CE"/>
    </font>
    <font>
      <b/>
      <sz val="12"/>
      <color rgb="FFFF0000"/>
      <name val="Arial CE"/>
      <family val="2"/>
    </font>
    <font>
      <sz val="9"/>
      <color rgb="FF003366"/>
      <name val="Arial CE"/>
    </font>
    <font>
      <b/>
      <sz val="10"/>
      <color rgb="FFFF0000"/>
      <name val="Arial CE"/>
    </font>
    <font>
      <sz val="12"/>
      <color rgb="FF000000"/>
      <name val="Arial"/>
      <family val="2"/>
    </font>
    <font>
      <b/>
      <sz val="12"/>
      <color rgb="FF800000"/>
      <name val="Garamond"/>
      <family val="1"/>
    </font>
    <font>
      <b/>
      <sz val="12"/>
      <color rgb="FFFF0000"/>
      <name val="Garamond"/>
      <family val="1"/>
    </font>
    <font>
      <sz val="12"/>
      <color rgb="FF003366"/>
      <name val="Garamond"/>
      <family val="1"/>
    </font>
    <font>
      <b/>
      <sz val="12"/>
      <name val="Garamond"/>
      <family val="1"/>
    </font>
    <font>
      <sz val="10"/>
      <name val="Arial CE"/>
    </font>
  </fonts>
  <fills count="8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00FF00"/>
        <bgColor rgb="FF33CCCC"/>
      </patternFill>
    </fill>
    <fill>
      <patternFill patternType="solid">
        <fgColor rgb="FFFFFFB3"/>
        <bgColor rgb="FFFFFFFF"/>
      </patternFill>
    </fill>
    <fill>
      <patternFill patternType="solid">
        <fgColor rgb="FFFFCC66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CCE666"/>
        <bgColor rgb="FFFFCC66"/>
      </patternFill>
    </fill>
  </fills>
  <borders count="6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003366"/>
      </left>
      <right style="thin">
        <color rgb="FF003366"/>
      </right>
      <top style="double">
        <color rgb="FF003366"/>
      </top>
      <bottom/>
      <diagonal/>
    </border>
    <border>
      <left/>
      <right/>
      <top style="double">
        <color rgb="FF003366"/>
      </top>
      <bottom/>
      <diagonal/>
    </border>
    <border>
      <left style="thin">
        <color rgb="FF003366"/>
      </left>
      <right style="double">
        <color rgb="FF003366"/>
      </right>
      <top style="double">
        <color rgb="FF003366"/>
      </top>
      <bottom style="thin">
        <color rgb="FF003366"/>
      </bottom>
      <diagonal/>
    </border>
    <border>
      <left style="double">
        <color rgb="FF003366"/>
      </left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003366"/>
      </left>
      <right style="thin">
        <color rgb="FF003366"/>
      </right>
      <top style="thin">
        <color auto="1"/>
      </top>
      <bottom/>
      <diagonal/>
    </border>
    <border>
      <left style="thin">
        <color rgb="FF003366"/>
      </left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003366"/>
      </left>
      <right style="double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003366"/>
      </left>
      <right style="thin">
        <color rgb="FF003366"/>
      </right>
      <top/>
      <bottom/>
      <diagonal/>
    </border>
    <border>
      <left style="thin">
        <color rgb="FF003366"/>
      </left>
      <right/>
      <top style="thin">
        <color rgb="FF003366"/>
      </top>
      <bottom style="thin">
        <color rgb="FF003366"/>
      </bottom>
      <diagonal/>
    </border>
    <border>
      <left/>
      <right/>
      <top style="thin">
        <color rgb="FF003366"/>
      </top>
      <bottom style="thin">
        <color rgb="FF003366"/>
      </bottom>
      <diagonal/>
    </border>
    <border>
      <left/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double">
        <color rgb="FF003366"/>
      </left>
      <right/>
      <top/>
      <bottom/>
      <diagonal/>
    </border>
    <border>
      <left style="double">
        <color rgb="FF003366"/>
      </left>
      <right style="thin">
        <color rgb="FF003366"/>
      </right>
      <top style="thin">
        <color rgb="FF003366"/>
      </top>
      <bottom style="medium">
        <color rgb="FF003366"/>
      </bottom>
      <diagonal/>
    </border>
    <border>
      <left style="thin">
        <color rgb="FF003366"/>
      </left>
      <right/>
      <top style="thin">
        <color rgb="FF003366"/>
      </top>
      <bottom/>
      <diagonal/>
    </border>
    <border>
      <left/>
      <right/>
      <top style="thin">
        <color rgb="FF003366"/>
      </top>
      <bottom/>
      <diagonal/>
    </border>
    <border>
      <left/>
      <right style="thin">
        <color rgb="FF003366"/>
      </right>
      <top style="thin">
        <color rgb="FF003366"/>
      </top>
      <bottom/>
      <diagonal/>
    </border>
    <border>
      <left style="thin">
        <color rgb="FF003366"/>
      </left>
      <right/>
      <top/>
      <bottom/>
      <diagonal/>
    </border>
    <border>
      <left/>
      <right style="thin">
        <color rgb="FF003366"/>
      </right>
      <top/>
      <bottom/>
      <diagonal/>
    </border>
    <border>
      <left style="thin">
        <color rgb="FF003366"/>
      </left>
      <right/>
      <top/>
      <bottom style="thin">
        <color rgb="FF003366"/>
      </bottom>
      <diagonal/>
    </border>
    <border>
      <left/>
      <right/>
      <top/>
      <bottom style="thin">
        <color rgb="FF003366"/>
      </bottom>
      <diagonal/>
    </border>
    <border>
      <left/>
      <right style="thin">
        <color rgb="FF003366"/>
      </right>
      <top/>
      <bottom style="thin">
        <color rgb="FF003366"/>
      </bottom>
      <diagonal/>
    </border>
    <border>
      <left style="double">
        <color rgb="FF003366"/>
      </left>
      <right/>
      <top style="medium">
        <color rgb="FF003366"/>
      </top>
      <bottom style="medium">
        <color rgb="FF003366"/>
      </bottom>
      <diagonal/>
    </border>
    <border>
      <left style="thin">
        <color rgb="FF003366"/>
      </left>
      <right style="double">
        <color rgb="FF003366"/>
      </right>
      <top style="medium">
        <color rgb="FF003366"/>
      </top>
      <bottom style="medium">
        <color rgb="FF003366"/>
      </bottom>
      <diagonal/>
    </border>
    <border>
      <left style="thin">
        <color rgb="FF003366"/>
      </left>
      <right style="thin">
        <color rgb="FF003366"/>
      </right>
      <top style="thin">
        <color auto="1"/>
      </top>
      <bottom style="thin">
        <color auto="1"/>
      </bottom>
      <diagonal/>
    </border>
    <border>
      <left style="thin">
        <color rgb="FF003366"/>
      </left>
      <right style="thin">
        <color rgb="FF003366"/>
      </right>
      <top style="thin">
        <color rgb="FF003366"/>
      </top>
      <bottom/>
      <diagonal/>
    </border>
    <border>
      <left/>
      <right/>
      <top style="medium">
        <color rgb="FF003366"/>
      </top>
      <bottom style="medium">
        <color rgb="FF003366"/>
      </bottom>
      <diagonal/>
    </border>
    <border>
      <left/>
      <right style="double">
        <color rgb="FF003366"/>
      </right>
      <top style="medium">
        <color rgb="FF003366"/>
      </top>
      <bottom style="medium">
        <color rgb="FF003366"/>
      </bottom>
      <diagonal/>
    </border>
    <border>
      <left style="double">
        <color rgb="FF003366"/>
      </left>
      <right style="thin">
        <color rgb="FF003366"/>
      </right>
      <top/>
      <bottom style="medium">
        <color rgb="FF003366"/>
      </bottom>
      <diagonal/>
    </border>
    <border>
      <left style="thin">
        <color rgb="FF003366"/>
      </left>
      <right style="thin">
        <color rgb="FF003366"/>
      </right>
      <top/>
      <bottom style="medium">
        <color rgb="FF003366"/>
      </bottom>
      <diagonal/>
    </border>
    <border>
      <left style="thin">
        <color rgb="FF003366"/>
      </left>
      <right style="thin">
        <color rgb="FF003366"/>
      </right>
      <top style="medium">
        <color rgb="FF003366"/>
      </top>
      <bottom style="medium">
        <color rgb="FF003366"/>
      </bottom>
      <diagonal/>
    </border>
    <border>
      <left style="thin">
        <color rgb="FF003366"/>
      </left>
      <right style="double">
        <color rgb="FF003366"/>
      </right>
      <top/>
      <bottom style="medium">
        <color rgb="FF003366"/>
      </bottom>
      <diagonal/>
    </border>
    <border>
      <left style="double">
        <color rgb="FF003366"/>
      </left>
      <right style="thin">
        <color rgb="FF003366"/>
      </right>
      <top style="medium">
        <color rgb="FF003366"/>
      </top>
      <bottom style="thin">
        <color rgb="FF003366"/>
      </bottom>
      <diagonal/>
    </border>
    <border>
      <left style="thin">
        <color rgb="FF003366"/>
      </left>
      <right style="thin">
        <color rgb="FF003366"/>
      </right>
      <top style="medium">
        <color rgb="FF003366"/>
      </top>
      <bottom style="thin">
        <color rgb="FF003366"/>
      </bottom>
      <diagonal/>
    </border>
    <border>
      <left style="thin">
        <color rgb="FF003366"/>
      </left>
      <right style="thin">
        <color rgb="FF003366"/>
      </right>
      <top style="thin">
        <color rgb="FF003366"/>
      </top>
      <bottom style="medium">
        <color rgb="FF003366"/>
      </bottom>
      <diagonal/>
    </border>
    <border>
      <left style="double">
        <color rgb="FF003366"/>
      </left>
      <right style="thin">
        <color rgb="FF003366"/>
      </right>
      <top style="medium">
        <color rgb="FF003366"/>
      </top>
      <bottom style="medium">
        <color rgb="FF003366"/>
      </bottom>
      <diagonal/>
    </border>
    <border>
      <left style="double">
        <color rgb="FF003366"/>
      </left>
      <right/>
      <top style="medium">
        <color rgb="FF003366"/>
      </top>
      <bottom style="thin">
        <color rgb="FF003366"/>
      </bottom>
      <diagonal/>
    </border>
    <border>
      <left/>
      <right/>
      <top style="medium">
        <color rgb="FF003366"/>
      </top>
      <bottom style="thin">
        <color rgb="FF003366"/>
      </bottom>
      <diagonal/>
    </border>
    <border>
      <left style="thin">
        <color rgb="FF003366"/>
      </left>
      <right style="double">
        <color rgb="FF003366"/>
      </right>
      <top style="medium">
        <color rgb="FF003366"/>
      </top>
      <bottom style="thin">
        <color rgb="FF003366"/>
      </bottom>
      <diagonal/>
    </border>
    <border>
      <left style="double">
        <color rgb="FF003366"/>
      </left>
      <right/>
      <top style="thin">
        <color rgb="FF003366"/>
      </top>
      <bottom style="double">
        <color rgb="FF003366"/>
      </bottom>
      <diagonal/>
    </border>
    <border>
      <left/>
      <right/>
      <top style="thin">
        <color rgb="FF003366"/>
      </top>
      <bottom style="double">
        <color rgb="FF003366"/>
      </bottom>
      <diagonal/>
    </border>
    <border>
      <left style="thin">
        <color rgb="FF003366"/>
      </left>
      <right style="double">
        <color rgb="FF003366"/>
      </right>
      <top style="thin">
        <color rgb="FF003366"/>
      </top>
      <bottom style="double">
        <color rgb="FF003366"/>
      </bottom>
      <diagonal/>
    </border>
    <border>
      <left/>
      <right/>
      <top/>
      <bottom style="medium">
        <color rgb="FF003366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5" fontId="36" fillId="0" borderId="0" applyBorder="0" applyAlignment="0" applyProtection="0"/>
    <xf numFmtId="9" fontId="36" fillId="0" borderId="0" applyBorder="0" applyAlignment="0" applyProtection="0"/>
    <xf numFmtId="0" fontId="1" fillId="0" borderId="0">
      <alignment horizontal="left" vertical="center"/>
    </xf>
  </cellStyleXfs>
  <cellXfs count="198">
    <xf numFmtId="0" fontId="0" fillId="0" borderId="0" xfId="0"/>
    <xf numFmtId="0" fontId="7" fillId="0" borderId="42" xfId="3" applyFont="1" applyBorder="1" applyAlignment="1" applyProtection="1">
      <alignment horizontal="left" vertical="center" wrapText="1"/>
      <protection hidden="1"/>
    </xf>
    <xf numFmtId="0" fontId="13" fillId="4" borderId="31" xfId="0" applyFont="1" applyFill="1" applyBorder="1" applyAlignment="1" applyProtection="1">
      <alignment horizontal="center" vertical="center"/>
      <protection hidden="1"/>
    </xf>
    <xf numFmtId="0" fontId="7" fillId="4" borderId="42" xfId="3" applyFont="1" applyFill="1" applyBorder="1" applyAlignment="1" applyProtection="1">
      <alignment horizontal="left" vertical="center" wrapText="1"/>
      <protection hidden="1"/>
    </xf>
    <xf numFmtId="0" fontId="13" fillId="4" borderId="22" xfId="0" applyFont="1" applyFill="1" applyBorder="1" applyAlignment="1" applyProtection="1">
      <alignment horizontal="center" vertical="center"/>
      <protection hidden="1"/>
    </xf>
    <xf numFmtId="0" fontId="6" fillId="4" borderId="40" xfId="3" applyFont="1" applyFill="1" applyBorder="1" applyAlignment="1" applyProtection="1">
      <alignment horizontal="center" vertical="center" wrapText="1"/>
      <protection hidden="1"/>
    </xf>
    <xf numFmtId="0" fontId="6" fillId="4" borderId="31" xfId="3" applyFont="1" applyFill="1" applyBorder="1" applyAlignment="1" applyProtection="1">
      <alignment horizontal="center" vertical="center" wrapText="1"/>
      <protection hidden="1"/>
    </xf>
    <xf numFmtId="0" fontId="7" fillId="4" borderId="26" xfId="3" applyFont="1" applyFill="1" applyBorder="1" applyAlignment="1" applyProtection="1">
      <alignment horizontal="left" vertical="center" wrapText="1"/>
      <protection hidden="1"/>
    </xf>
    <xf numFmtId="0" fontId="7" fillId="4" borderId="24" xfId="3" applyFont="1" applyFill="1" applyBorder="1" applyAlignment="1" applyProtection="1">
      <alignment horizontal="center" vertical="center" wrapText="1"/>
      <protection hidden="1"/>
    </xf>
    <xf numFmtId="0" fontId="7" fillId="4" borderId="23" xfId="3" applyFont="1" applyFill="1" applyBorder="1" applyAlignment="1" applyProtection="1">
      <alignment horizontal="left" vertical="center" wrapText="1"/>
      <protection hidden="1"/>
    </xf>
    <xf numFmtId="0" fontId="6" fillId="4" borderId="22" xfId="0" applyFont="1" applyFill="1" applyBorder="1" applyAlignment="1" applyProtection="1">
      <alignment horizontal="center" vertical="center" wrapText="1"/>
      <protection hidden="1"/>
    </xf>
    <xf numFmtId="0" fontId="6" fillId="4" borderId="19" xfId="3" applyFont="1" applyFill="1" applyBorder="1" applyAlignment="1" applyProtection="1">
      <alignment horizontal="center" vertical="center" wrapText="1"/>
      <protection hidden="1"/>
    </xf>
    <xf numFmtId="0" fontId="8" fillId="4" borderId="0" xfId="3" applyFont="1" applyFill="1" applyAlignment="1" applyProtection="1">
      <alignment horizontal="center" vertical="top" wrapText="1"/>
      <protection hidden="1"/>
    </xf>
    <xf numFmtId="0" fontId="6" fillId="0" borderId="0" xfId="3" applyFont="1" applyAlignment="1" applyProtection="1">
      <alignment horizontal="right" vertical="center"/>
      <protection locked="0"/>
    </xf>
    <xf numFmtId="0" fontId="7" fillId="0" borderId="0" xfId="3" applyFont="1" applyProtection="1">
      <alignment horizontal="left" vertical="center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4" fontId="2" fillId="0" borderId="2" xfId="0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/>
    <xf numFmtId="3" fontId="2" fillId="0" borderId="11" xfId="0" applyNumberFormat="1" applyFont="1" applyBorder="1"/>
    <xf numFmtId="0" fontId="2" fillId="0" borderId="12" xfId="0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3" fillId="0" borderId="15" xfId="0" applyNumberFormat="1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3" fontId="2" fillId="0" borderId="15" xfId="0" applyNumberFormat="1" applyFont="1" applyBorder="1"/>
    <xf numFmtId="0" fontId="2" fillId="0" borderId="16" xfId="0" applyFont="1" applyBorder="1"/>
    <xf numFmtId="0" fontId="3" fillId="0" borderId="14" xfId="0" applyFont="1" applyBorder="1"/>
    <xf numFmtId="4" fontId="3" fillId="0" borderId="15" xfId="0" applyNumberFormat="1" applyFont="1" applyBorder="1"/>
    <xf numFmtId="0" fontId="3" fillId="0" borderId="14" xfId="0" applyFont="1" applyBorder="1" applyAlignment="1">
      <alignment horizontal="right"/>
    </xf>
    <xf numFmtId="3" fontId="3" fillId="0" borderId="15" xfId="1" applyNumberFormat="1" applyFont="1" applyBorder="1" applyAlignment="1" applyProtection="1"/>
    <xf numFmtId="3" fontId="3" fillId="0" borderId="11" xfId="0" applyNumberFormat="1" applyFont="1" applyBorder="1"/>
    <xf numFmtId="3" fontId="3" fillId="0" borderId="13" xfId="0" applyNumberFormat="1" applyFont="1" applyBorder="1"/>
    <xf numFmtId="9" fontId="3" fillId="0" borderId="15" xfId="2" applyFont="1" applyBorder="1" applyAlignment="1" applyProtection="1"/>
    <xf numFmtId="3" fontId="3" fillId="0" borderId="0" xfId="0" applyNumberFormat="1" applyFont="1"/>
    <xf numFmtId="3" fontId="5" fillId="2" borderId="15" xfId="0" applyNumberFormat="1" applyFont="1" applyFill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3" fillId="0" borderId="16" xfId="0" applyNumberFormat="1" applyFont="1" applyBorder="1"/>
    <xf numFmtId="3" fontId="0" fillId="2" borderId="15" xfId="0" applyNumberFormat="1" applyFill="1" applyBorder="1" applyAlignment="1">
      <alignment vertical="center"/>
    </xf>
    <xf numFmtId="3" fontId="5" fillId="3" borderId="15" xfId="0" applyNumberFormat="1" applyFont="1" applyFill="1" applyBorder="1" applyAlignment="1">
      <alignment vertical="center"/>
    </xf>
    <xf numFmtId="1" fontId="3" fillId="0" borderId="16" xfId="0" applyNumberFormat="1" applyFont="1" applyBorder="1"/>
    <xf numFmtId="3" fontId="3" fillId="0" borderId="17" xfId="0" applyNumberFormat="1" applyFont="1" applyBorder="1"/>
    <xf numFmtId="0" fontId="4" fillId="0" borderId="14" xfId="0" applyFont="1" applyBorder="1"/>
    <xf numFmtId="1" fontId="2" fillId="0" borderId="16" xfId="0" applyNumberFormat="1" applyFont="1" applyBorder="1"/>
    <xf numFmtId="3" fontId="2" fillId="0" borderId="17" xfId="0" applyNumberFormat="1" applyFont="1" applyBorder="1"/>
    <xf numFmtId="3" fontId="2" fillId="0" borderId="16" xfId="0" applyNumberFormat="1" applyFont="1" applyBorder="1"/>
    <xf numFmtId="0" fontId="2" fillId="0" borderId="14" xfId="0" applyFont="1" applyBorder="1" applyAlignment="1">
      <alignment horizontal="right"/>
    </xf>
    <xf numFmtId="0" fontId="4" fillId="0" borderId="5" xfId="0" applyFont="1" applyBorder="1"/>
    <xf numFmtId="3" fontId="2" fillId="0" borderId="6" xfId="0" applyNumberFormat="1" applyFont="1" applyBorder="1"/>
    <xf numFmtId="3" fontId="2" fillId="0" borderId="18" xfId="0" applyNumberFormat="1" applyFont="1" applyBorder="1"/>
    <xf numFmtId="164" fontId="2" fillId="0" borderId="0" xfId="0" applyNumberFormat="1" applyFont="1"/>
    <xf numFmtId="0" fontId="6" fillId="0" borderId="0" xfId="3" applyFont="1" applyProtection="1">
      <alignment horizontal="left" vertical="center"/>
      <protection locked="0"/>
    </xf>
    <xf numFmtId="0" fontId="6" fillId="4" borderId="0" xfId="3" applyFont="1" applyFill="1" applyProtection="1">
      <alignment horizontal="left" vertical="center"/>
      <protection hidden="1"/>
    </xf>
    <xf numFmtId="166" fontId="8" fillId="4" borderId="0" xfId="1" applyNumberFormat="1" applyFont="1" applyFill="1" applyBorder="1" applyAlignment="1" applyProtection="1">
      <alignment horizontal="right" vertical="center"/>
      <protection hidden="1"/>
    </xf>
    <xf numFmtId="166" fontId="7" fillId="4" borderId="0" xfId="1" applyNumberFormat="1" applyFont="1" applyFill="1" applyBorder="1" applyAlignment="1" applyProtection="1">
      <alignment horizontal="center"/>
      <protection hidden="1"/>
    </xf>
    <xf numFmtId="0" fontId="6" fillId="4" borderId="20" xfId="3" applyFont="1" applyFill="1" applyBorder="1" applyAlignment="1" applyProtection="1">
      <alignment horizontal="center" vertical="center" wrapText="1"/>
      <protection hidden="1"/>
    </xf>
    <xf numFmtId="166" fontId="6" fillId="4" borderId="21" xfId="1" applyNumberFormat="1" applyFont="1" applyFill="1" applyBorder="1" applyAlignment="1" applyProtection="1">
      <alignment horizontal="center" vertical="center" wrapText="1"/>
      <protection hidden="1"/>
    </xf>
    <xf numFmtId="166" fontId="7" fillId="0" borderId="25" xfId="1" applyNumberFormat="1" applyFont="1" applyBorder="1" applyAlignment="1" applyProtection="1">
      <alignment horizontal="center" vertical="center"/>
      <protection locked="0"/>
    </xf>
    <xf numFmtId="166" fontId="7" fillId="0" borderId="25" xfId="1" applyNumberFormat="1" applyFont="1" applyBorder="1" applyAlignment="1" applyProtection="1">
      <alignment horizontal="right" vertical="center"/>
      <protection locked="0"/>
    </xf>
    <xf numFmtId="0" fontId="6" fillId="4" borderId="27" xfId="3" applyFont="1" applyFill="1" applyBorder="1" applyProtection="1">
      <alignment horizontal="left" vertical="center"/>
      <protection hidden="1"/>
    </xf>
    <xf numFmtId="0" fontId="6" fillId="4" borderId="28" xfId="3" applyFont="1" applyFill="1" applyBorder="1" applyAlignment="1" applyProtection="1">
      <alignment horizontal="right" vertical="center"/>
      <protection hidden="1"/>
    </xf>
    <xf numFmtId="0" fontId="6" fillId="4" borderId="29" xfId="3" applyFont="1" applyFill="1" applyBorder="1" applyAlignment="1" applyProtection="1">
      <alignment horizontal="right" vertical="center"/>
      <protection hidden="1"/>
    </xf>
    <xf numFmtId="166" fontId="6" fillId="4" borderId="25" xfId="1" applyNumberFormat="1" applyFont="1" applyFill="1" applyBorder="1" applyAlignment="1" applyProtection="1">
      <alignment horizontal="right" vertical="center"/>
      <protection hidden="1"/>
    </xf>
    <xf numFmtId="0" fontId="10" fillId="4" borderId="30" xfId="0" applyFont="1" applyFill="1" applyBorder="1" applyAlignment="1" applyProtection="1">
      <alignment horizontal="left" vertical="top"/>
      <protection hidden="1"/>
    </xf>
    <xf numFmtId="0" fontId="10" fillId="4" borderId="0" xfId="0" applyFont="1" applyFill="1" applyAlignment="1" applyProtection="1">
      <alignment horizontal="left" vertical="top"/>
      <protection hidden="1"/>
    </xf>
    <xf numFmtId="0" fontId="7" fillId="4" borderId="32" xfId="3" applyFont="1" applyFill="1" applyBorder="1" applyProtection="1">
      <alignment horizontal="left" vertical="center"/>
      <protection hidden="1"/>
    </xf>
    <xf numFmtId="0" fontId="10" fillId="4" borderId="33" xfId="0" applyFont="1" applyFill="1" applyBorder="1" applyAlignment="1" applyProtection="1">
      <alignment horizontal="left" vertical="center"/>
      <protection hidden="1"/>
    </xf>
    <xf numFmtId="0" fontId="6" fillId="4" borderId="34" xfId="3" applyFont="1" applyFill="1" applyBorder="1" applyAlignment="1" applyProtection="1">
      <alignment horizontal="left" vertical="center" wrapText="1"/>
      <protection hidden="1"/>
    </xf>
    <xf numFmtId="0" fontId="6" fillId="4" borderId="33" xfId="3" applyFont="1" applyFill="1" applyBorder="1" applyAlignment="1" applyProtection="1">
      <alignment horizontal="center" vertical="center" wrapText="1"/>
      <protection hidden="1"/>
    </xf>
    <xf numFmtId="0" fontId="7" fillId="4" borderId="35" xfId="3" applyFont="1" applyFill="1" applyBorder="1" applyProtection="1">
      <alignment horizontal="left" vertical="center"/>
      <protection hidden="1"/>
    </xf>
    <xf numFmtId="0" fontId="10" fillId="4" borderId="0" xfId="0" applyFont="1" applyFill="1" applyAlignment="1" applyProtection="1">
      <alignment horizontal="left" vertical="center"/>
      <protection hidden="1"/>
    </xf>
    <xf numFmtId="0" fontId="11" fillId="4" borderId="36" xfId="3" applyFont="1" applyFill="1" applyBorder="1" applyProtection="1">
      <alignment horizontal="left" vertical="center"/>
      <protection hidden="1"/>
    </xf>
    <xf numFmtId="0" fontId="7" fillId="4" borderId="37" xfId="3" applyFont="1" applyFill="1" applyBorder="1" applyProtection="1">
      <alignment horizontal="left" vertical="center"/>
      <protection hidden="1"/>
    </xf>
    <xf numFmtId="0" fontId="10" fillId="4" borderId="38" xfId="0" applyFont="1" applyFill="1" applyBorder="1" applyAlignment="1" applyProtection="1">
      <alignment horizontal="left" vertical="center"/>
      <protection hidden="1"/>
    </xf>
    <xf numFmtId="0" fontId="10" fillId="4" borderId="39" xfId="0" applyFont="1" applyFill="1" applyBorder="1" applyAlignment="1" applyProtection="1">
      <alignment horizontal="left" vertical="center" wrapText="1"/>
      <protection hidden="1"/>
    </xf>
    <xf numFmtId="166" fontId="6" fillId="4" borderId="41" xfId="1" applyNumberFormat="1" applyFont="1" applyFill="1" applyBorder="1" applyAlignment="1" applyProtection="1">
      <alignment horizontal="right" vertical="center"/>
      <protection hidden="1"/>
    </xf>
    <xf numFmtId="0" fontId="12" fillId="4" borderId="0" xfId="3" applyFont="1" applyFill="1" applyProtection="1">
      <alignment horizontal="left" vertical="center"/>
      <protection hidden="1"/>
    </xf>
    <xf numFmtId="166" fontId="11" fillId="4" borderId="0" xfId="1" applyNumberFormat="1" applyFont="1" applyFill="1" applyBorder="1" applyAlignment="1" applyProtection="1">
      <alignment horizontal="left" vertical="center"/>
      <protection hidden="1"/>
    </xf>
    <xf numFmtId="0" fontId="7" fillId="4" borderId="43" xfId="3" applyFont="1" applyFill="1" applyBorder="1" applyAlignment="1" applyProtection="1">
      <alignment horizontal="left" vertical="center" wrapText="1"/>
      <protection hidden="1"/>
    </xf>
    <xf numFmtId="0" fontId="6" fillId="4" borderId="40" xfId="3" applyFont="1" applyFill="1" applyBorder="1" applyAlignment="1" applyProtection="1">
      <alignment horizontal="left" vertical="center" wrapText="1"/>
      <protection hidden="1"/>
    </xf>
    <xf numFmtId="0" fontId="6" fillId="4" borderId="44" xfId="3" applyFont="1" applyFill="1" applyBorder="1" applyAlignment="1" applyProtection="1">
      <alignment horizontal="left" vertical="center" wrapText="1"/>
      <protection hidden="1"/>
    </xf>
    <xf numFmtId="166" fontId="6" fillId="4" borderId="45" xfId="1" applyNumberFormat="1" applyFont="1" applyFill="1" applyBorder="1" applyAlignment="1" applyProtection="1">
      <alignment horizontal="right" vertical="center"/>
      <protection hidden="1"/>
    </xf>
    <xf numFmtId="0" fontId="7" fillId="0" borderId="50" xfId="3" applyFont="1" applyBorder="1" applyAlignment="1" applyProtection="1">
      <alignment horizontal="left" vertical="center" wrapText="1"/>
      <protection locked="0"/>
    </xf>
    <xf numFmtId="167" fontId="7" fillId="0" borderId="51" xfId="1" applyNumberFormat="1" applyFont="1" applyBorder="1" applyAlignment="1" applyProtection="1">
      <alignment horizontal="left" vertical="center" wrapText="1"/>
      <protection locked="0"/>
    </xf>
    <xf numFmtId="166" fontId="7" fillId="4" borderId="51" xfId="1" applyNumberFormat="1" applyFont="1" applyFill="1" applyBorder="1" applyAlignment="1" applyProtection="1">
      <alignment horizontal="right" vertical="center"/>
      <protection hidden="1"/>
    </xf>
    <xf numFmtId="0" fontId="7" fillId="0" borderId="22" xfId="3" applyFont="1" applyBorder="1" applyAlignment="1" applyProtection="1">
      <alignment horizontal="left" vertical="center" wrapText="1"/>
      <protection locked="0"/>
    </xf>
    <xf numFmtId="167" fontId="7" fillId="0" borderId="24" xfId="1" applyNumberFormat="1" applyFont="1" applyBorder="1" applyAlignment="1" applyProtection="1">
      <alignment horizontal="left" vertical="center" wrapText="1"/>
      <protection locked="0"/>
    </xf>
    <xf numFmtId="166" fontId="7" fillId="4" borderId="24" xfId="1" applyNumberFormat="1" applyFont="1" applyFill="1" applyBorder="1" applyAlignment="1" applyProtection="1">
      <alignment horizontal="right" vertical="center"/>
      <protection hidden="1"/>
    </xf>
    <xf numFmtId="0" fontId="7" fillId="0" borderId="31" xfId="3" applyFont="1" applyBorder="1" applyAlignment="1" applyProtection="1">
      <alignment horizontal="left" vertical="center" wrapText="1"/>
      <protection locked="0"/>
    </xf>
    <xf numFmtId="167" fontId="7" fillId="0" borderId="52" xfId="1" applyNumberFormat="1" applyFont="1" applyBorder="1" applyAlignment="1" applyProtection="1">
      <alignment horizontal="left" vertical="center" wrapText="1"/>
      <protection locked="0"/>
    </xf>
    <xf numFmtId="166" fontId="7" fillId="4" borderId="52" xfId="1" applyNumberFormat="1" applyFont="1" applyFill="1" applyBorder="1" applyAlignment="1" applyProtection="1">
      <alignment horizontal="right" vertical="center"/>
      <protection hidden="1"/>
    </xf>
    <xf numFmtId="0" fontId="6" fillId="4" borderId="53" xfId="3" applyFont="1" applyFill="1" applyBorder="1" applyAlignment="1" applyProtection="1">
      <alignment horizontal="left" vertical="center" wrapText="1"/>
      <protection hidden="1"/>
    </xf>
    <xf numFmtId="167" fontId="7" fillId="4" borderId="48" xfId="1" applyNumberFormat="1" applyFont="1" applyFill="1" applyBorder="1" applyAlignment="1" applyProtection="1">
      <alignment horizontal="left" vertical="center" wrapText="1"/>
      <protection hidden="1"/>
    </xf>
    <xf numFmtId="0" fontId="10" fillId="4" borderId="44" xfId="0" applyFont="1" applyFill="1" applyBorder="1" applyAlignment="1" applyProtection="1">
      <alignment horizontal="right" vertical="center" wrapText="1"/>
      <protection hidden="1"/>
    </xf>
    <xf numFmtId="0" fontId="6" fillId="4" borderId="54" xfId="3" applyFont="1" applyFill="1" applyBorder="1" applyAlignment="1" applyProtection="1">
      <alignment horizontal="left" vertical="center" wrapText="1"/>
      <protection hidden="1"/>
    </xf>
    <xf numFmtId="0" fontId="6" fillId="4" borderId="55" xfId="3" applyFont="1" applyFill="1" applyBorder="1" applyAlignment="1" applyProtection="1">
      <alignment horizontal="left" vertical="center" wrapText="1"/>
      <protection hidden="1"/>
    </xf>
    <xf numFmtId="166" fontId="7" fillId="0" borderId="56" xfId="1" applyNumberFormat="1" applyFont="1" applyBorder="1" applyAlignment="1" applyProtection="1">
      <alignment horizontal="right" vertical="center"/>
      <protection locked="0"/>
    </xf>
    <xf numFmtId="0" fontId="14" fillId="4" borderId="57" xfId="3" applyFont="1" applyFill="1" applyBorder="1" applyAlignment="1" applyProtection="1">
      <alignment horizontal="left" vertical="center" wrapText="1"/>
      <protection hidden="1"/>
    </xf>
    <xf numFmtId="0" fontId="14" fillId="4" borderId="58" xfId="3" applyFont="1" applyFill="1" applyBorder="1" applyAlignment="1" applyProtection="1">
      <alignment horizontal="left" vertical="center" wrapText="1"/>
      <protection hidden="1"/>
    </xf>
    <xf numFmtId="168" fontId="6" fillId="4" borderId="59" xfId="1" applyNumberFormat="1" applyFont="1" applyFill="1" applyBorder="1" applyAlignment="1" applyProtection="1">
      <alignment horizontal="right" vertical="center"/>
      <protection hidden="1"/>
    </xf>
    <xf numFmtId="0" fontId="15" fillId="4" borderId="0" xfId="3" applyFont="1" applyFill="1" applyAlignment="1" applyProtection="1">
      <alignment horizontal="center" vertical="center"/>
      <protection hidden="1"/>
    </xf>
    <xf numFmtId="0" fontId="16" fillId="4" borderId="0" xfId="3" applyFont="1" applyFill="1" applyProtection="1">
      <alignment horizontal="left" vertical="center"/>
      <protection hidden="1"/>
    </xf>
    <xf numFmtId="0" fontId="17" fillId="4" borderId="0" xfId="3" applyFont="1" applyFill="1" applyProtection="1">
      <alignment horizontal="left" vertical="center"/>
      <protection hidden="1"/>
    </xf>
    <xf numFmtId="0" fontId="16" fillId="4" borderId="0" xfId="3" applyFont="1" applyFill="1" applyAlignment="1" applyProtection="1">
      <alignment horizontal="center" vertical="center"/>
      <protection hidden="1"/>
    </xf>
    <xf numFmtId="166" fontId="15" fillId="4" borderId="0" xfId="1" applyNumberFormat="1" applyFont="1" applyFill="1" applyBorder="1" applyAlignment="1" applyProtection="1">
      <alignment horizontal="left" vertical="center"/>
    </xf>
    <xf numFmtId="0" fontId="20" fillId="4" borderId="0" xfId="3" applyFont="1" applyFill="1" applyAlignment="1" applyProtection="1">
      <alignment horizontal="center" vertical="center"/>
      <protection hidden="1"/>
    </xf>
    <xf numFmtId="0" fontId="20" fillId="4" borderId="0" xfId="3" applyFont="1" applyFill="1" applyProtection="1">
      <alignment horizontal="left" vertical="center"/>
      <protection hidden="1"/>
    </xf>
    <xf numFmtId="0" fontId="16" fillId="4" borderId="15" xfId="3" applyFont="1" applyFill="1" applyBorder="1" applyAlignment="1">
      <alignment horizontal="center" vertical="center" wrapText="1"/>
    </xf>
    <xf numFmtId="0" fontId="17" fillId="4" borderId="15" xfId="3" applyFont="1" applyFill="1" applyBorder="1" applyAlignment="1">
      <alignment horizontal="center" vertical="center" wrapText="1"/>
    </xf>
    <xf numFmtId="1" fontId="16" fillId="4" borderId="15" xfId="1" applyNumberFormat="1" applyFont="1" applyFill="1" applyBorder="1" applyAlignment="1" applyProtection="1">
      <alignment horizontal="center" vertical="center"/>
    </xf>
    <xf numFmtId="1" fontId="21" fillId="4" borderId="15" xfId="1" applyNumberFormat="1" applyFont="1" applyFill="1" applyBorder="1" applyAlignment="1" applyProtection="1">
      <alignment horizontal="center" vertical="center" wrapText="1"/>
    </xf>
    <xf numFmtId="0" fontId="16" fillId="4" borderId="15" xfId="3" applyFont="1" applyFill="1" applyBorder="1" applyAlignment="1">
      <alignment horizontal="left" vertical="center" wrapText="1"/>
    </xf>
    <xf numFmtId="0" fontId="22" fillId="4" borderId="15" xfId="3" applyFont="1" applyFill="1" applyBorder="1" applyAlignment="1">
      <alignment horizontal="left" vertical="center" wrapText="1"/>
    </xf>
    <xf numFmtId="0" fontId="15" fillId="4" borderId="15" xfId="3" applyFont="1" applyFill="1" applyBorder="1" applyAlignment="1">
      <alignment horizontal="center" vertical="center"/>
    </xf>
    <xf numFmtId="166" fontId="23" fillId="0" borderId="15" xfId="1" applyNumberFormat="1" applyFont="1" applyBorder="1" applyAlignment="1" applyProtection="1">
      <alignment horizontal="left" vertical="center"/>
      <protection locked="0"/>
    </xf>
    <xf numFmtId="166" fontId="23" fillId="0" borderId="15" xfId="1" applyNumberFormat="1" applyFont="1" applyBorder="1" applyAlignment="1" applyProtection="1">
      <alignment horizontal="center" vertical="center"/>
      <protection locked="0"/>
    </xf>
    <xf numFmtId="166" fontId="25" fillId="4" borderId="15" xfId="1" applyNumberFormat="1" applyFont="1" applyFill="1" applyBorder="1" applyAlignment="1" applyProtection="1">
      <alignment horizontal="left" vertical="center"/>
    </xf>
    <xf numFmtId="0" fontId="20" fillId="4" borderId="15" xfId="3" applyFont="1" applyFill="1" applyBorder="1" applyAlignment="1" applyProtection="1">
      <alignment horizontal="center" vertical="center"/>
      <protection hidden="1"/>
    </xf>
    <xf numFmtId="0" fontId="15" fillId="4" borderId="15" xfId="3" applyFont="1" applyFill="1" applyBorder="1" applyAlignment="1">
      <alignment horizontal="left" vertical="center" wrapText="1"/>
    </xf>
    <xf numFmtId="0" fontId="22" fillId="5" borderId="15" xfId="3" applyFont="1" applyFill="1" applyBorder="1" applyAlignment="1">
      <alignment horizontal="left" vertical="center" wrapText="1"/>
    </xf>
    <xf numFmtId="0" fontId="26" fillId="4" borderId="15" xfId="3" applyFont="1" applyFill="1" applyBorder="1" applyAlignment="1">
      <alignment horizontal="center" vertical="center"/>
    </xf>
    <xf numFmtId="166" fontId="25" fillId="6" borderId="15" xfId="1" applyNumberFormat="1" applyFont="1" applyFill="1" applyBorder="1" applyAlignment="1" applyProtection="1">
      <alignment horizontal="left" vertical="center"/>
      <protection locked="0"/>
    </xf>
    <xf numFmtId="166" fontId="25" fillId="0" borderId="15" xfId="1" applyNumberFormat="1" applyFont="1" applyBorder="1" applyAlignment="1" applyProtection="1">
      <alignment horizontal="left" vertical="center"/>
      <protection locked="0"/>
    </xf>
    <xf numFmtId="0" fontId="22" fillId="7" borderId="15" xfId="3" applyFont="1" applyFill="1" applyBorder="1" applyAlignment="1">
      <alignment horizontal="left" vertical="center" wrapText="1"/>
    </xf>
    <xf numFmtId="166" fontId="25" fillId="0" borderId="15" xfId="1" applyNumberFormat="1" applyFont="1" applyBorder="1" applyAlignment="1" applyProtection="1">
      <alignment horizontal="left" vertical="center" wrapText="1"/>
      <protection locked="0"/>
    </xf>
    <xf numFmtId="49" fontId="25" fillId="0" borderId="15" xfId="1" applyNumberFormat="1" applyFont="1" applyBorder="1" applyAlignment="1" applyProtection="1">
      <alignment horizontal="left" vertical="center"/>
      <protection locked="0"/>
    </xf>
    <xf numFmtId="49" fontId="25" fillId="0" borderId="15" xfId="1" applyNumberFormat="1" applyFont="1" applyBorder="1" applyAlignment="1" applyProtection="1">
      <alignment vertical="center"/>
      <protection locked="0"/>
    </xf>
    <xf numFmtId="0" fontId="15" fillId="4" borderId="15" xfId="3" applyFont="1" applyFill="1" applyBorder="1" applyAlignment="1">
      <alignment horizontal="justify" vertical="center" wrapText="1"/>
    </xf>
    <xf numFmtId="49" fontId="25" fillId="0" borderId="15" xfId="1" applyNumberFormat="1" applyFont="1" applyBorder="1" applyAlignment="1" applyProtection="1">
      <alignment horizontal="left" vertical="center" wrapText="1"/>
      <protection locked="0"/>
    </xf>
    <xf numFmtId="0" fontId="20" fillId="4" borderId="15" xfId="3" applyFont="1" applyFill="1" applyBorder="1" applyAlignment="1">
      <alignment horizontal="left" vertical="center" wrapText="1"/>
    </xf>
    <xf numFmtId="0" fontId="20" fillId="5" borderId="15" xfId="3" applyFont="1" applyFill="1" applyBorder="1" applyAlignment="1">
      <alignment horizontal="left" vertical="center" wrapText="1"/>
    </xf>
    <xf numFmtId="0" fontId="20" fillId="4" borderId="15" xfId="3" applyFont="1" applyFill="1" applyBorder="1">
      <alignment horizontal="left" vertical="center"/>
    </xf>
    <xf numFmtId="0" fontId="20" fillId="5" borderId="15" xfId="3" applyFont="1" applyFill="1" applyBorder="1">
      <alignment horizontal="left" vertical="center"/>
    </xf>
    <xf numFmtId="0" fontId="27" fillId="4" borderId="15" xfId="3" applyFont="1" applyFill="1" applyBorder="1" applyAlignment="1">
      <alignment horizontal="left" vertical="center" wrapText="1"/>
    </xf>
    <xf numFmtId="0" fontId="16" fillId="4" borderId="15" xfId="3" applyFont="1" applyFill="1" applyBorder="1" applyAlignment="1">
      <alignment horizontal="center" vertical="center"/>
    </xf>
    <xf numFmtId="166" fontId="23" fillId="4" borderId="15" xfId="1" applyNumberFormat="1" applyFont="1" applyFill="1" applyBorder="1" applyAlignment="1" applyProtection="1">
      <alignment horizontal="left" vertical="center"/>
    </xf>
    <xf numFmtId="0" fontId="28" fillId="4" borderId="15" xfId="3" applyFont="1" applyFill="1" applyBorder="1">
      <alignment horizontal="left" vertical="center"/>
    </xf>
    <xf numFmtId="0" fontId="22" fillId="4" borderId="15" xfId="3" applyFont="1" applyFill="1" applyBorder="1">
      <alignment horizontal="left" vertical="center"/>
    </xf>
    <xf numFmtId="0" fontId="16" fillId="4" borderId="15" xfId="3" applyFont="1" applyFill="1" applyBorder="1">
      <alignment horizontal="left" vertical="center"/>
    </xf>
    <xf numFmtId="0" fontId="29" fillId="4" borderId="15" xfId="3" applyFont="1" applyFill="1" applyBorder="1" applyAlignment="1">
      <alignment horizontal="left" vertical="center" wrapText="1"/>
    </xf>
    <xf numFmtId="0" fontId="27" fillId="4" borderId="15" xfId="3" applyFont="1" applyFill="1" applyBorder="1">
      <alignment horizontal="left" vertical="center"/>
    </xf>
    <xf numFmtId="0" fontId="26" fillId="4" borderId="15" xfId="3" applyFont="1" applyFill="1" applyBorder="1">
      <alignment horizontal="left" vertical="center"/>
    </xf>
    <xf numFmtId="0" fontId="30" fillId="4" borderId="15" xfId="3" applyFont="1" applyFill="1" applyBorder="1" applyAlignment="1">
      <alignment horizontal="center" vertical="center"/>
    </xf>
    <xf numFmtId="0" fontId="15" fillId="4" borderId="15" xfId="3" applyFont="1" applyFill="1" applyBorder="1">
      <alignment horizontal="left" vertical="center"/>
    </xf>
    <xf numFmtId="0" fontId="26" fillId="4" borderId="15" xfId="3" applyFont="1" applyFill="1" applyBorder="1" applyAlignment="1">
      <alignment vertical="center"/>
    </xf>
    <xf numFmtId="166" fontId="16" fillId="4" borderId="15" xfId="1" applyNumberFormat="1" applyFont="1" applyFill="1" applyBorder="1" applyAlignment="1" applyProtection="1">
      <alignment horizontal="left" vertical="center"/>
    </xf>
    <xf numFmtId="0" fontId="7" fillId="4" borderId="0" xfId="3" applyFont="1" applyFill="1" applyProtection="1">
      <alignment horizontal="left" vertical="center"/>
      <protection hidden="1"/>
    </xf>
    <xf numFmtId="0" fontId="6" fillId="4" borderId="0" xfId="3" applyFont="1" applyFill="1" applyAlignment="1" applyProtection="1">
      <alignment horizontal="center" vertical="center"/>
      <protection hidden="1"/>
    </xf>
    <xf numFmtId="166" fontId="7" fillId="4" borderId="0" xfId="1" applyNumberFormat="1" applyFont="1" applyFill="1" applyBorder="1" applyAlignment="1" applyProtection="1">
      <alignment horizontal="left" vertical="center"/>
      <protection hidden="1"/>
    </xf>
    <xf numFmtId="0" fontId="7" fillId="4" borderId="0" xfId="3" applyFont="1" applyFill="1" applyAlignment="1" applyProtection="1">
      <alignment horizontal="center" vertical="center"/>
      <protection hidden="1"/>
    </xf>
    <xf numFmtId="0" fontId="6" fillId="4" borderId="15" xfId="3" applyFont="1" applyFill="1" applyBorder="1" applyAlignment="1" applyProtection="1">
      <alignment horizontal="center" vertical="center" wrapText="1"/>
      <protection hidden="1"/>
    </xf>
    <xf numFmtId="1" fontId="6" fillId="4" borderId="15" xfId="1" applyNumberFormat="1" applyFont="1" applyFill="1" applyBorder="1" applyAlignment="1" applyProtection="1">
      <alignment horizontal="center" vertical="center" wrapText="1"/>
      <protection hidden="1"/>
    </xf>
    <xf numFmtId="0" fontId="6" fillId="4" borderId="15" xfId="3" applyFont="1" applyFill="1" applyBorder="1" applyAlignment="1" applyProtection="1">
      <alignment horizontal="center" vertical="center" textRotation="90"/>
      <protection hidden="1"/>
    </xf>
    <xf numFmtId="0" fontId="7" fillId="4" borderId="15" xfId="3" applyFont="1" applyFill="1" applyBorder="1" applyAlignment="1" applyProtection="1">
      <alignment horizontal="center" vertical="center"/>
      <protection hidden="1"/>
    </xf>
    <xf numFmtId="166" fontId="7" fillId="0" borderId="15" xfId="1" applyNumberFormat="1" applyFont="1" applyBorder="1" applyAlignment="1" applyProtection="1">
      <alignment horizontal="left" vertical="center"/>
      <protection locked="0"/>
    </xf>
    <xf numFmtId="166" fontId="7" fillId="4" borderId="15" xfId="1" applyNumberFormat="1" applyFont="1" applyFill="1" applyBorder="1" applyAlignment="1" applyProtection="1">
      <alignment horizontal="right" vertical="center"/>
      <protection hidden="1"/>
    </xf>
    <xf numFmtId="0" fontId="6" fillId="4" borderId="0" xfId="3" applyFont="1" applyFill="1" applyAlignment="1" applyProtection="1">
      <alignment horizontal="left" vertical="center" wrapText="1"/>
      <protection hidden="1"/>
    </xf>
    <xf numFmtId="166" fontId="7" fillId="4" borderId="0" xfId="1" applyNumberFormat="1" applyFont="1" applyFill="1" applyBorder="1" applyAlignment="1" applyProtection="1">
      <alignment horizontal="right" vertical="center"/>
      <protection hidden="1"/>
    </xf>
    <xf numFmtId="0" fontId="6" fillId="4" borderId="0" xfId="3" applyFont="1" applyFill="1" applyAlignment="1" applyProtection="1">
      <alignment horizontal="center" vertical="center" wrapText="1"/>
      <protection hidden="1"/>
    </xf>
    <xf numFmtId="166" fontId="7" fillId="0" borderId="15" xfId="1" applyNumberFormat="1" applyFont="1" applyBorder="1" applyAlignment="1" applyProtection="1">
      <alignment horizontal="right" vertical="center"/>
      <protection locked="0"/>
    </xf>
    <xf numFmtId="0" fontId="6" fillId="4" borderId="15" xfId="3" applyFont="1" applyFill="1" applyBorder="1" applyAlignment="1" applyProtection="1">
      <alignment horizontal="center" vertical="center"/>
      <protection hidden="1"/>
    </xf>
    <xf numFmtId="0" fontId="19" fillId="4" borderId="15" xfId="3" applyFont="1" applyFill="1" applyBorder="1" applyAlignment="1" applyProtection="1">
      <alignment horizontal="center" vertical="center" textRotation="90"/>
      <protection hidden="1"/>
    </xf>
    <xf numFmtId="0" fontId="32" fillId="4" borderId="15" xfId="0" applyFont="1" applyFill="1" applyBorder="1" applyAlignment="1" applyProtection="1">
      <alignment horizontal="left" vertical="center" wrapText="1"/>
      <protection hidden="1"/>
    </xf>
    <xf numFmtId="0" fontId="33" fillId="4" borderId="15" xfId="0" applyFont="1" applyFill="1" applyBorder="1" applyAlignment="1" applyProtection="1">
      <alignment horizontal="center" vertical="center" wrapText="1"/>
      <protection hidden="1"/>
    </xf>
    <xf numFmtId="0" fontId="33" fillId="4" borderId="15" xfId="0" applyFont="1" applyFill="1" applyBorder="1" applyAlignment="1" applyProtection="1">
      <alignment horizontal="left" vertical="center" wrapText="1"/>
      <protection hidden="1"/>
    </xf>
    <xf numFmtId="0" fontId="34" fillId="4" borderId="15" xfId="3" applyFont="1" applyFill="1" applyBorder="1" applyAlignment="1" applyProtection="1">
      <alignment horizontal="center" vertical="center"/>
      <protection hidden="1"/>
    </xf>
    <xf numFmtId="166" fontId="35" fillId="4" borderId="15" xfId="1" applyNumberFormat="1" applyFont="1" applyFill="1" applyBorder="1" applyAlignment="1" applyProtection="1">
      <alignment horizontal="right" vertical="center"/>
      <protection hidden="1"/>
    </xf>
    <xf numFmtId="0" fontId="7" fillId="0" borderId="24" xfId="3" applyFont="1" applyBorder="1" applyAlignment="1" applyProtection="1">
      <alignment horizontal="center" vertical="center" wrapText="1"/>
      <protection hidden="1"/>
    </xf>
    <xf numFmtId="0" fontId="6" fillId="4" borderId="46" xfId="3" applyFont="1" applyFill="1" applyBorder="1" applyAlignment="1" applyProtection="1">
      <alignment horizontal="center" vertical="center" wrapText="1"/>
      <protection hidden="1"/>
    </xf>
    <xf numFmtId="0" fontId="6" fillId="4" borderId="47" xfId="3" applyFont="1" applyFill="1" applyBorder="1" applyAlignment="1" applyProtection="1">
      <alignment horizontal="center" vertical="center" wrapText="1"/>
      <protection hidden="1"/>
    </xf>
    <xf numFmtId="0" fontId="6" fillId="4" borderId="48" xfId="3" applyFont="1" applyFill="1" applyBorder="1" applyAlignment="1" applyProtection="1">
      <alignment horizontal="center" vertical="center" wrapText="1"/>
      <protection hidden="1"/>
    </xf>
    <xf numFmtId="166" fontId="6" fillId="4" borderId="49" xfId="1" applyNumberFormat="1" applyFont="1" applyFill="1" applyBorder="1" applyAlignment="1" applyProtection="1">
      <alignment horizontal="center" vertical="center" wrapText="1"/>
      <protection hidden="1"/>
    </xf>
    <xf numFmtId="166" fontId="7" fillId="0" borderId="51" xfId="1" applyNumberFormat="1" applyFont="1" applyBorder="1" applyAlignment="1" applyProtection="1">
      <alignment horizontal="center" vertical="center" wrapText="1"/>
      <protection locked="0"/>
    </xf>
    <xf numFmtId="167" fontId="6" fillId="4" borderId="48" xfId="1" applyNumberFormat="1" applyFont="1" applyFill="1" applyBorder="1" applyAlignment="1" applyProtection="1">
      <alignment horizontal="right" vertical="center" wrapText="1"/>
      <protection hidden="1"/>
    </xf>
    <xf numFmtId="0" fontId="18" fillId="4" borderId="0" xfId="3" applyFont="1" applyFill="1" applyAlignment="1" applyProtection="1">
      <alignment horizontal="center" vertical="center" wrapText="1"/>
      <protection hidden="1"/>
    </xf>
    <xf numFmtId="0" fontId="16" fillId="4" borderId="0" xfId="3" applyFont="1" applyFill="1" applyAlignment="1" applyProtection="1">
      <alignment horizontal="center" vertical="center" wrapText="1"/>
      <protection hidden="1"/>
    </xf>
    <xf numFmtId="0" fontId="19" fillId="0" borderId="60" xfId="3" applyFont="1" applyBorder="1" applyAlignment="1" applyProtection="1">
      <alignment horizontal="left"/>
      <protection locked="0"/>
    </xf>
    <xf numFmtId="166" fontId="20" fillId="4" borderId="61" xfId="1" applyNumberFormat="1" applyFont="1" applyFill="1" applyBorder="1" applyAlignment="1" applyProtection="1">
      <alignment horizontal="right" vertical="center"/>
    </xf>
    <xf numFmtId="0" fontId="16" fillId="4" borderId="15" xfId="3" applyFont="1" applyFill="1" applyBorder="1" applyAlignment="1">
      <alignment horizontal="center" vertical="center" wrapText="1"/>
    </xf>
    <xf numFmtId="0" fontId="16" fillId="4" borderId="15" xfId="3" applyFont="1" applyFill="1" applyBorder="1" applyAlignment="1">
      <alignment horizontal="left" vertical="center" wrapText="1"/>
    </xf>
    <xf numFmtId="0" fontId="24" fillId="4" borderId="62" xfId="3" applyFont="1" applyFill="1" applyBorder="1" applyAlignment="1">
      <alignment horizontal="left" vertical="center" wrapText="1"/>
    </xf>
    <xf numFmtId="0" fontId="8" fillId="4" borderId="0" xfId="3" applyFont="1" applyFill="1" applyAlignment="1" applyProtection="1">
      <alignment horizontal="center" vertical="center" wrapText="1"/>
      <protection hidden="1"/>
    </xf>
    <xf numFmtId="0" fontId="6" fillId="4" borderId="61" xfId="3" applyFont="1" applyFill="1" applyBorder="1" applyAlignment="1" applyProtection="1">
      <alignment horizontal="center" vertical="center" wrapText="1"/>
      <protection hidden="1"/>
    </xf>
    <xf numFmtId="0" fontId="6" fillId="4" borderId="15" xfId="3" applyFont="1" applyFill="1" applyBorder="1" applyAlignment="1" applyProtection="1">
      <alignment horizontal="center" vertical="center" wrapText="1"/>
      <protection hidden="1"/>
    </xf>
    <xf numFmtId="0" fontId="6" fillId="4" borderId="15" xfId="3" applyFont="1" applyFill="1" applyBorder="1" applyAlignment="1" applyProtection="1">
      <alignment horizontal="center" vertical="center" textRotation="90"/>
      <protection hidden="1"/>
    </xf>
    <xf numFmtId="0" fontId="7" fillId="4" borderId="15" xfId="3" applyFont="1" applyFill="1" applyBorder="1" applyAlignment="1" applyProtection="1">
      <alignment horizontal="left" vertical="center" wrapText="1"/>
      <protection hidden="1"/>
    </xf>
    <xf numFmtId="0" fontId="6" fillId="4" borderId="15" xfId="3" applyFont="1" applyFill="1" applyBorder="1" applyAlignment="1" applyProtection="1">
      <alignment horizontal="left" vertical="center" wrapText="1"/>
      <protection hidden="1"/>
    </xf>
  </cellXfs>
  <cellStyles count="4">
    <cellStyle name="Ezres" xfId="1" builtinId="3"/>
    <cellStyle name="Normál" xfId="0" builtinId="0"/>
    <cellStyle name="Normál_MUNKALAP" xfId="3" xr:uid="{00000000-0005-0000-0000-000006000000}"/>
    <cellStyle name="Százalék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B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CCE666"/>
      <rgbColor rgb="FF99CCFF"/>
      <rgbColor rgb="FFFF99CC"/>
      <rgbColor rgb="FFCC99FF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2010/M13-06.xls" TargetMode="External"/><Relationship Id="rId1" Type="http://schemas.openxmlformats.org/officeDocument/2006/relationships/externalLinkPath" Target="/../../../2010/M13-0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2010/M13-03.xls" TargetMode="External"/><Relationship Id="rId1" Type="http://schemas.openxmlformats.org/officeDocument/2006/relationships/externalLinkPath" Target="/../../../2010/M13-0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2010/M13-04.xls" TargetMode="External"/><Relationship Id="rId1" Type="http://schemas.openxmlformats.org/officeDocument/2006/relationships/externalLinkPath" Target="/../../../2010/M13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-HIP"/>
      <sheetName val="Hivatkozasok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13-03"/>
      <sheetName val="Hivatkozasok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-TAO"/>
      <sheetName val="Hivatkozaso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44"/>
  <sheetViews>
    <sheetView tabSelected="1" zoomScaleNormal="100" workbookViewId="0">
      <selection activeCell="G3" sqref="G3"/>
    </sheetView>
  </sheetViews>
  <sheetFormatPr baseColWidth="10" defaultColWidth="9.1640625" defaultRowHeight="13"/>
  <cols>
    <col min="1" max="1" width="36" style="15" customWidth="1"/>
    <col min="2" max="2" width="16.1640625" style="16" customWidth="1"/>
    <col min="3" max="4" width="16" style="16" customWidth="1"/>
    <col min="5" max="5" width="16.1640625" style="16" customWidth="1"/>
    <col min="6" max="7" width="16" style="16" customWidth="1"/>
    <col min="8" max="8" width="16" style="16" hidden="1" customWidth="1"/>
    <col min="9" max="9" width="13.5" style="16" hidden="1" customWidth="1"/>
    <col min="10" max="10" width="13.1640625" style="16" hidden="1" customWidth="1"/>
    <col min="11" max="11" width="15.83203125" style="16" hidden="1" customWidth="1"/>
    <col min="12" max="13" width="9.1640625" style="16"/>
    <col min="14" max="14" width="16.5" style="16" hidden="1" customWidth="1"/>
    <col min="15" max="18" width="9" style="16" hidden="1" customWidth="1"/>
    <col min="19" max="19" width="12.33203125" style="16" hidden="1" customWidth="1"/>
    <col min="20" max="20" width="9" style="16" hidden="1" customWidth="1"/>
    <col min="21" max="257" width="9.1640625" style="16"/>
  </cols>
  <sheetData>
    <row r="1" spans="1:257" ht="33" customHeight="1">
      <c r="A1" s="17" t="s">
        <v>0</v>
      </c>
      <c r="K1" s="16" t="s">
        <v>1</v>
      </c>
    </row>
    <row r="2" spans="1:257" ht="62.25" customHeight="1">
      <c r="A2" s="18"/>
      <c r="B2" s="19" t="s">
        <v>2</v>
      </c>
      <c r="C2" s="20" t="s">
        <v>3</v>
      </c>
      <c r="D2" s="20" t="s">
        <v>4</v>
      </c>
      <c r="E2" s="19" t="s">
        <v>240</v>
      </c>
      <c r="F2" s="20" t="s">
        <v>241</v>
      </c>
      <c r="G2" s="20" t="s">
        <v>242</v>
      </c>
      <c r="H2" s="20" t="s">
        <v>5</v>
      </c>
      <c r="I2" s="20" t="s">
        <v>6</v>
      </c>
      <c r="J2" s="20" t="s">
        <v>7</v>
      </c>
      <c r="K2" s="21" t="s">
        <v>8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</row>
    <row r="3" spans="1:257" ht="16">
      <c r="A3" s="22"/>
      <c r="B3" s="23"/>
      <c r="C3" s="23"/>
      <c r="D3" s="23"/>
      <c r="E3" s="24"/>
      <c r="F3" s="24"/>
      <c r="G3" s="24"/>
      <c r="H3" s="24"/>
      <c r="I3" s="24"/>
      <c r="J3" s="25"/>
      <c r="K3" s="26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57" ht="22.5" customHeight="1">
      <c r="A4" s="27" t="s">
        <v>9</v>
      </c>
      <c r="B4" s="28">
        <v>1822</v>
      </c>
      <c r="C4" s="28">
        <v>198376</v>
      </c>
      <c r="D4" s="28">
        <v>200198</v>
      </c>
      <c r="E4" s="28">
        <v>365</v>
      </c>
      <c r="F4" s="28">
        <f>96758+10004-E4</f>
        <v>106397</v>
      </c>
      <c r="G4" s="28">
        <f>+E4+F4</f>
        <v>106762</v>
      </c>
      <c r="H4" s="28">
        <v>0</v>
      </c>
      <c r="I4" s="28">
        <v>0</v>
      </c>
      <c r="J4" s="29">
        <v>0</v>
      </c>
      <c r="K4" s="30">
        <f>SUM(G4:J4)</f>
        <v>106762</v>
      </c>
      <c r="L4" s="15"/>
      <c r="M4" s="17"/>
      <c r="N4" s="17"/>
      <c r="O4" s="17"/>
      <c r="P4" s="17"/>
      <c r="Q4" s="17"/>
      <c r="R4" s="17"/>
      <c r="S4" s="17"/>
      <c r="T4" s="17"/>
      <c r="U4" s="17"/>
      <c r="V4" s="17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</row>
    <row r="5" spans="1:257" ht="16">
      <c r="A5" s="31"/>
      <c r="B5" s="32"/>
      <c r="C5" s="32" t="s">
        <v>10</v>
      </c>
      <c r="D5" s="32"/>
      <c r="E5" s="32"/>
      <c r="F5" s="32" t="s">
        <v>10</v>
      </c>
      <c r="G5" s="32"/>
      <c r="H5" s="32"/>
      <c r="I5" s="33"/>
      <c r="J5" s="34"/>
      <c r="K5" s="35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57" ht="16">
      <c r="A6" s="31" t="s">
        <v>11</v>
      </c>
      <c r="B6" s="36">
        <v>0</v>
      </c>
      <c r="C6" s="36">
        <v>260453</v>
      </c>
      <c r="D6" s="28">
        <v>260453</v>
      </c>
      <c r="E6" s="36">
        <v>0</v>
      </c>
      <c r="F6" s="36">
        <f>146947-E6</f>
        <v>146947</v>
      </c>
      <c r="G6" s="28">
        <f>+E6+F6</f>
        <v>146947</v>
      </c>
      <c r="H6" s="28">
        <v>0</v>
      </c>
      <c r="I6" s="28">
        <v>0</v>
      </c>
      <c r="J6" s="37">
        <v>0</v>
      </c>
      <c r="K6" s="30">
        <f>SUM(G6:J6)</f>
        <v>146947</v>
      </c>
      <c r="L6" s="15"/>
      <c r="M6" s="17"/>
      <c r="N6" s="17"/>
      <c r="O6" s="17"/>
      <c r="P6" s="17"/>
      <c r="Q6" s="17"/>
      <c r="R6" s="17"/>
      <c r="S6" s="17"/>
      <c r="T6" s="17"/>
      <c r="U6" s="17"/>
      <c r="V6" s="17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</row>
    <row r="7" spans="1:257" ht="16">
      <c r="A7" s="31"/>
      <c r="B7" s="32"/>
      <c r="C7" s="32" t="s">
        <v>10</v>
      </c>
      <c r="D7" s="32"/>
      <c r="E7" s="32"/>
      <c r="F7" s="32" t="s">
        <v>10</v>
      </c>
      <c r="G7" s="32"/>
      <c r="H7" s="32"/>
      <c r="I7" s="33"/>
      <c r="J7" s="34"/>
      <c r="K7" s="35"/>
      <c r="L7" s="16">
        <f>+(F4+F6+I4+I6)/(K4+K6)</f>
        <v>0.99856134390187179</v>
      </c>
      <c r="M7" s="17">
        <f>2264*L7</f>
        <v>2260.7428825938377</v>
      </c>
      <c r="N7" s="17"/>
      <c r="O7" s="17"/>
      <c r="P7" s="17"/>
      <c r="Q7" s="17"/>
      <c r="R7" s="17"/>
      <c r="S7" s="17"/>
      <c r="T7" s="17"/>
      <c r="U7" s="17"/>
      <c r="V7" s="17"/>
    </row>
    <row r="8" spans="1:257" ht="16">
      <c r="A8" s="31" t="s">
        <v>12</v>
      </c>
      <c r="B8" s="32">
        <v>0</v>
      </c>
      <c r="C8" s="32">
        <v>3217</v>
      </c>
      <c r="D8" s="28">
        <v>3217</v>
      </c>
      <c r="E8" s="32">
        <v>0</v>
      </c>
      <c r="F8" s="36">
        <v>0</v>
      </c>
      <c r="G8" s="28">
        <f>+E8+F8</f>
        <v>0</v>
      </c>
      <c r="H8" s="32"/>
      <c r="I8" s="33">
        <v>0</v>
      </c>
      <c r="J8" s="34">
        <v>0</v>
      </c>
      <c r="K8" s="30">
        <f>SUM(G8:J8)</f>
        <v>0</v>
      </c>
      <c r="L8" s="16">
        <f>1-L7</f>
        <v>1.4386560981282104E-3</v>
      </c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57" ht="16">
      <c r="A9" s="38"/>
      <c r="B9" s="32"/>
      <c r="C9" s="39" t="s">
        <v>10</v>
      </c>
      <c r="D9" s="39"/>
      <c r="E9" s="32"/>
      <c r="F9" s="39" t="s">
        <v>10</v>
      </c>
      <c r="G9" s="39"/>
      <c r="H9" s="39"/>
      <c r="I9" s="33"/>
      <c r="J9" s="34"/>
      <c r="K9" s="35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57" ht="16">
      <c r="A10" s="31" t="s">
        <v>13</v>
      </c>
      <c r="B10" s="36">
        <v>-589</v>
      </c>
      <c r="C10" s="36">
        <v>-140076</v>
      </c>
      <c r="D10" s="36">
        <v>-140665</v>
      </c>
      <c r="E10" s="36">
        <f>SUM(E11:E14)</f>
        <v>-17</v>
      </c>
      <c r="F10" s="36">
        <f>SUM(F11:F14)</f>
        <v>-81638</v>
      </c>
      <c r="G10" s="28">
        <f>+E10+F10</f>
        <v>-81655</v>
      </c>
      <c r="H10" s="36">
        <f>SUM(H11:H14)</f>
        <v>0</v>
      </c>
      <c r="I10" s="36">
        <f>SUM(I11:I14)</f>
        <v>0</v>
      </c>
      <c r="J10" s="36">
        <f>SUM(J11:J14)</f>
        <v>0</v>
      </c>
      <c r="K10" s="30">
        <f>SUM(G10:J10)</f>
        <v>-81655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57" ht="16">
      <c r="A11" s="40" t="s">
        <v>14</v>
      </c>
      <c r="B11" s="41">
        <v>-203</v>
      </c>
      <c r="C11" s="41">
        <v>-130692</v>
      </c>
      <c r="D11" s="42">
        <v>-130895</v>
      </c>
      <c r="E11" s="41">
        <v>-17</v>
      </c>
      <c r="F11" s="41">
        <f>-63734-E11-5044</f>
        <v>-68761</v>
      </c>
      <c r="G11" s="42">
        <f>+E11+F11</f>
        <v>-68778</v>
      </c>
      <c r="H11" s="42">
        <v>0</v>
      </c>
      <c r="I11" s="42">
        <v>0</v>
      </c>
      <c r="J11" s="32">
        <v>0</v>
      </c>
      <c r="K11" s="43">
        <f>SUM(G11:J11)</f>
        <v>-68778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57" ht="16">
      <c r="A12" s="40" t="s">
        <v>15</v>
      </c>
      <c r="B12" s="41">
        <v>0</v>
      </c>
      <c r="C12" s="32">
        <v>-193</v>
      </c>
      <c r="D12" s="42">
        <v>-193</v>
      </c>
      <c r="E12" s="41">
        <v>0</v>
      </c>
      <c r="F12" s="32">
        <v>-115</v>
      </c>
      <c r="G12" s="42">
        <f>+E12+F12</f>
        <v>-115</v>
      </c>
      <c r="H12" s="42">
        <v>0</v>
      </c>
      <c r="I12" s="42">
        <v>0</v>
      </c>
      <c r="J12" s="32">
        <v>0</v>
      </c>
      <c r="K12" s="43">
        <f>SUM(G12:J12)</f>
        <v>-115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57" ht="16">
      <c r="A13" s="40" t="s">
        <v>16</v>
      </c>
      <c r="B13" s="41">
        <v>-386</v>
      </c>
      <c r="C13" s="41">
        <v>-5817</v>
      </c>
      <c r="D13" s="42">
        <v>-6203</v>
      </c>
      <c r="E13" s="41">
        <v>0</v>
      </c>
      <c r="F13" s="41">
        <v>-10353</v>
      </c>
      <c r="G13" s="42">
        <f>+E13+F13</f>
        <v>-10353</v>
      </c>
      <c r="H13" s="42">
        <v>0</v>
      </c>
      <c r="I13" s="42">
        <v>0</v>
      </c>
      <c r="J13" s="32">
        <v>0</v>
      </c>
      <c r="K13" s="43">
        <f>SUM(G13:J13)</f>
        <v>-10353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57" ht="16">
      <c r="A14" s="40" t="s">
        <v>17</v>
      </c>
      <c r="B14" s="41">
        <v>0</v>
      </c>
      <c r="C14" s="41">
        <v>-3374</v>
      </c>
      <c r="D14" s="42">
        <v>-3374</v>
      </c>
      <c r="E14" s="41">
        <v>0</v>
      </c>
      <c r="F14" s="41">
        <f>-2408-+E14-1</f>
        <v>-2409</v>
      </c>
      <c r="G14" s="42">
        <f>+E14+F14</f>
        <v>-2409</v>
      </c>
      <c r="H14" s="42">
        <v>0</v>
      </c>
      <c r="I14" s="42">
        <v>0</v>
      </c>
      <c r="J14" s="32">
        <v>0</v>
      </c>
      <c r="K14" s="43">
        <f>SUM(G14:J14)</f>
        <v>-2409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57" ht="16">
      <c r="A15" s="40"/>
      <c r="B15" s="44" t="s">
        <v>10</v>
      </c>
      <c r="C15" s="44"/>
      <c r="D15" s="44"/>
      <c r="E15" s="44" t="s">
        <v>10</v>
      </c>
      <c r="F15" s="44"/>
      <c r="G15" s="44"/>
      <c r="H15" s="44"/>
      <c r="I15" s="33"/>
      <c r="J15" s="34"/>
      <c r="K15" s="35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45" t="s">
        <v>10</v>
      </c>
    </row>
    <row r="16" spans="1:257" ht="16">
      <c r="A16" s="31" t="s">
        <v>18</v>
      </c>
      <c r="B16" s="41">
        <v>-1050</v>
      </c>
      <c r="C16" s="41">
        <v>-248204</v>
      </c>
      <c r="D16" s="42">
        <v>-249254</v>
      </c>
      <c r="E16" s="41">
        <f>0</f>
        <v>0</v>
      </c>
      <c r="F16" s="41">
        <f>-102244-10542-10967-E16</f>
        <v>-123753</v>
      </c>
      <c r="G16" s="42">
        <f>+E16+F16</f>
        <v>-123753</v>
      </c>
      <c r="H16" s="42">
        <v>0</v>
      </c>
      <c r="I16" s="42">
        <v>0</v>
      </c>
      <c r="J16" s="32">
        <v>0</v>
      </c>
      <c r="K16" s="43">
        <f>SUM(G16:J16)</f>
        <v>-123753</v>
      </c>
      <c r="M16" s="17"/>
      <c r="N16" s="41">
        <f>-33162*0.0284</f>
        <v>-941.80080000000009</v>
      </c>
      <c r="O16" s="41">
        <v>-33162</v>
      </c>
      <c r="Q16" s="16">
        <v>33162</v>
      </c>
      <c r="S16" s="46">
        <f>-79644+5400+6460+615121-240000-283600+2400+50390+255000+67000+2447+24277</f>
        <v>425251</v>
      </c>
      <c r="U16" s="16">
        <f>+F16/(F4+F6)</f>
        <v>-0.48847811671087532</v>
      </c>
      <c r="V16" s="17"/>
      <c r="W16" s="45" t="s">
        <v>10</v>
      </c>
    </row>
    <row r="17" spans="1:257" ht="16">
      <c r="A17" s="38"/>
      <c r="B17" s="41" t="s">
        <v>10</v>
      </c>
      <c r="C17" s="32" t="s">
        <v>10</v>
      </c>
      <c r="D17" s="32"/>
      <c r="E17" s="41" t="s">
        <v>10</v>
      </c>
      <c r="F17" s="41" t="s">
        <v>10</v>
      </c>
      <c r="G17" s="32"/>
      <c r="H17" s="32"/>
      <c r="I17" s="33"/>
      <c r="J17" s="34"/>
      <c r="K17" s="35"/>
      <c r="M17" s="17"/>
      <c r="N17" s="41" t="s">
        <v>10</v>
      </c>
      <c r="O17" s="41" t="s">
        <v>10</v>
      </c>
      <c r="S17" s="47"/>
      <c r="V17" s="17"/>
      <c r="W17" s="45" t="s">
        <v>10</v>
      </c>
    </row>
    <row r="18" spans="1:257" ht="16">
      <c r="A18" s="31" t="s">
        <v>19</v>
      </c>
      <c r="B18" s="41">
        <v>0</v>
      </c>
      <c r="C18" s="41">
        <v>-30456</v>
      </c>
      <c r="D18" s="42">
        <v>-30456</v>
      </c>
      <c r="E18" s="41">
        <v>0</v>
      </c>
      <c r="F18" s="41">
        <v>-21781</v>
      </c>
      <c r="G18" s="42">
        <f>+E18+F18</f>
        <v>-21781</v>
      </c>
      <c r="H18" s="42">
        <v>0</v>
      </c>
      <c r="I18" s="42">
        <v>0</v>
      </c>
      <c r="J18" s="48">
        <v>0</v>
      </c>
      <c r="K18" s="43">
        <f>SUM(G18:J18)</f>
        <v>-21781</v>
      </c>
      <c r="M18" s="17"/>
      <c r="N18" s="41">
        <f>-8305*0.0284</f>
        <v>-235.86200000000002</v>
      </c>
      <c r="O18" s="41">
        <f>-8305</f>
        <v>-8305</v>
      </c>
      <c r="Q18" s="16">
        <v>8305</v>
      </c>
      <c r="R18" s="16">
        <v>8305</v>
      </c>
      <c r="S18" s="49">
        <v>1895964</v>
      </c>
      <c r="V18" s="17"/>
      <c r="W18" s="45" t="s">
        <v>10</v>
      </c>
    </row>
    <row r="19" spans="1:257" ht="16">
      <c r="A19" s="31"/>
      <c r="B19" s="32"/>
      <c r="C19" s="32" t="s">
        <v>10</v>
      </c>
      <c r="D19" s="32"/>
      <c r="E19" s="32"/>
      <c r="F19" s="41" t="s">
        <v>10</v>
      </c>
      <c r="G19" s="32"/>
      <c r="H19" s="32"/>
      <c r="I19" s="33"/>
      <c r="J19" s="34"/>
      <c r="K19" s="35"/>
      <c r="M19" s="17"/>
      <c r="N19" s="32"/>
      <c r="O19" s="32"/>
      <c r="S19" s="50">
        <v>1298432</v>
      </c>
      <c r="V19" s="17"/>
      <c r="W19" s="45" t="s">
        <v>10</v>
      </c>
    </row>
    <row r="20" spans="1:257" ht="16">
      <c r="A20" s="31" t="s">
        <v>20</v>
      </c>
      <c r="B20" s="41">
        <v>0</v>
      </c>
      <c r="C20" s="41">
        <v>-17692</v>
      </c>
      <c r="D20" s="42">
        <v>-17692</v>
      </c>
      <c r="E20" s="41">
        <v>-6</v>
      </c>
      <c r="F20" s="41">
        <f>-6-6200+-E20</f>
        <v>-6200</v>
      </c>
      <c r="G20" s="42">
        <f>+E20+F20</f>
        <v>-6206</v>
      </c>
      <c r="H20" s="42">
        <v>0</v>
      </c>
      <c r="I20" s="42">
        <v>0</v>
      </c>
      <c r="J20" s="51">
        <v>0</v>
      </c>
      <c r="K20" s="43">
        <f>SUM(G20:J20)</f>
        <v>-6206</v>
      </c>
      <c r="L20" s="45">
        <f>+G4+G6+G10+G16+G18+G20</f>
        <v>20314</v>
      </c>
      <c r="M20" s="17"/>
      <c r="N20" s="41">
        <f>-8082*0.0284</f>
        <v>-229.52880000000002</v>
      </c>
      <c r="O20" s="41">
        <v>-8082</v>
      </c>
      <c r="Q20" s="16">
        <f>7760+255+67+1</f>
        <v>8083</v>
      </c>
      <c r="S20" s="47"/>
      <c r="V20" s="17"/>
      <c r="W20" s="45" t="s">
        <v>10</v>
      </c>
    </row>
    <row r="21" spans="1:257" ht="16">
      <c r="A21" s="40" t="s">
        <v>21</v>
      </c>
      <c r="B21" s="32"/>
      <c r="C21" s="32"/>
      <c r="D21" s="32"/>
      <c r="E21" s="32"/>
      <c r="F21" s="32"/>
      <c r="G21" s="32"/>
      <c r="H21" s="32"/>
      <c r="I21" s="32"/>
      <c r="J21" s="51"/>
      <c r="K21" s="52"/>
      <c r="M21" s="17"/>
      <c r="N21" s="32"/>
      <c r="S21" s="49">
        <v>283600</v>
      </c>
      <c r="V21" s="17"/>
      <c r="W21" s="45" t="s">
        <v>10</v>
      </c>
    </row>
    <row r="22" spans="1:257">
      <c r="A22" s="31"/>
      <c r="B22" s="32"/>
      <c r="C22" s="32" t="s">
        <v>10</v>
      </c>
      <c r="D22" s="32"/>
      <c r="E22" s="32"/>
      <c r="F22" s="32" t="s">
        <v>10</v>
      </c>
      <c r="G22" s="32"/>
      <c r="H22" s="32"/>
      <c r="I22" s="33"/>
      <c r="J22" s="34"/>
      <c r="K22" s="35"/>
      <c r="N22" s="32"/>
      <c r="S22" s="49">
        <f>4*60000</f>
        <v>240000</v>
      </c>
    </row>
    <row r="23" spans="1:257" ht="16">
      <c r="A23" s="53" t="s">
        <v>22</v>
      </c>
      <c r="B23" s="36">
        <v>183</v>
      </c>
      <c r="C23" s="36">
        <v>25619</v>
      </c>
      <c r="D23" s="36">
        <v>25802</v>
      </c>
      <c r="E23" s="36">
        <f>+E4+E6+E10+E8+E16+E18+E20</f>
        <v>342</v>
      </c>
      <c r="F23" s="36">
        <f>+F4+F6+F10+F8+F16+F18+F20+1</f>
        <v>19973</v>
      </c>
      <c r="G23" s="28">
        <f>+E23+F23</f>
        <v>20315</v>
      </c>
      <c r="H23" s="36">
        <f>+H4+H6+H10+H8+H16+H18+H20</f>
        <v>0</v>
      </c>
      <c r="I23" s="36">
        <f>+I4+I6+I10+I8+I16+I18+I20</f>
        <v>0</v>
      </c>
      <c r="J23" s="36">
        <f>+J4+J6+J10+J8+J16+J18+J20</f>
        <v>0</v>
      </c>
      <c r="K23" s="30">
        <f>SUM(G23:J23)</f>
        <v>20315</v>
      </c>
      <c r="N23" s="36">
        <f>+N4+N6+N10+N8+N16+N18+N20</f>
        <v>-1407.1916000000001</v>
      </c>
      <c r="O23" s="36">
        <f>+O4+O6+O10+O8+O16+O18+O20</f>
        <v>-49549</v>
      </c>
      <c r="P23" s="15">
        <v>1604</v>
      </c>
      <c r="Q23" s="15">
        <f>SUM(Q4:Q22)</f>
        <v>49550</v>
      </c>
      <c r="R23" s="15"/>
      <c r="S23" s="47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</row>
    <row r="24" spans="1:257">
      <c r="A24" s="31"/>
      <c r="B24" s="32"/>
      <c r="C24" s="32"/>
      <c r="D24" s="32"/>
      <c r="E24" s="32"/>
      <c r="F24" s="32"/>
      <c r="G24" s="32"/>
      <c r="H24" s="32"/>
      <c r="I24" s="33"/>
      <c r="J24" s="34"/>
      <c r="K24" s="35"/>
      <c r="Q24" s="16">
        <f>+Q23*0.0284</f>
        <v>1407.22</v>
      </c>
      <c r="S24" s="47"/>
    </row>
    <row r="25" spans="1:257">
      <c r="A25" s="31" t="s">
        <v>23</v>
      </c>
      <c r="B25" s="36">
        <v>0</v>
      </c>
      <c r="C25" s="36">
        <v>0</v>
      </c>
      <c r="D25" s="36">
        <v>0</v>
      </c>
      <c r="E25" s="36">
        <f>SUM(E26:E27)</f>
        <v>0</v>
      </c>
      <c r="F25" s="36">
        <f>SUM(F26:F27)</f>
        <v>0</v>
      </c>
      <c r="G25" s="28">
        <f>+E25+F25</f>
        <v>0</v>
      </c>
      <c r="H25" s="36"/>
      <c r="I25" s="36">
        <f>SUM(I26:I27)</f>
        <v>0</v>
      </c>
      <c r="J25" s="54">
        <v>0</v>
      </c>
      <c r="K25" s="30">
        <f>SUM(G25:J25)</f>
        <v>0</v>
      </c>
      <c r="S25" s="47"/>
    </row>
    <row r="26" spans="1:257">
      <c r="A26" s="40" t="s">
        <v>24</v>
      </c>
      <c r="B26" s="41">
        <v>0</v>
      </c>
      <c r="C26" s="41">
        <v>0</v>
      </c>
      <c r="D26" s="42">
        <v>0</v>
      </c>
      <c r="E26" s="41">
        <f>((G26)/(G$6+G$4))*(E$4+E$6)</f>
        <v>0</v>
      </c>
      <c r="F26" s="41">
        <v>0</v>
      </c>
      <c r="G26" s="42">
        <v>0</v>
      </c>
      <c r="H26" s="42">
        <v>0</v>
      </c>
      <c r="I26" s="42">
        <v>0</v>
      </c>
      <c r="J26" s="51"/>
      <c r="K26" s="43">
        <f>SUM(G26:J26)</f>
        <v>0</v>
      </c>
      <c r="S26" s="49">
        <v>488556</v>
      </c>
    </row>
    <row r="27" spans="1:257">
      <c r="A27" s="40" t="s">
        <v>25</v>
      </c>
      <c r="B27" s="41">
        <v>0</v>
      </c>
      <c r="C27" s="41">
        <v>0</v>
      </c>
      <c r="D27" s="42">
        <v>0</v>
      </c>
      <c r="E27" s="41">
        <f>((G27)/(G$6+G$4))*(E$4+E$6)</f>
        <v>0</v>
      </c>
      <c r="F27" s="41">
        <v>0</v>
      </c>
      <c r="G27" s="42">
        <v>0</v>
      </c>
      <c r="H27" s="32"/>
      <c r="I27" s="32">
        <f>+(F27)/3</f>
        <v>0</v>
      </c>
      <c r="J27" s="51"/>
      <c r="K27" s="43">
        <f>SUM(G27:J27)</f>
        <v>0</v>
      </c>
    </row>
    <row r="28" spans="1:257">
      <c r="A28" s="31"/>
      <c r="B28" s="32"/>
      <c r="C28" s="32" t="s">
        <v>10</v>
      </c>
      <c r="D28" s="32"/>
      <c r="E28" s="32"/>
      <c r="F28" s="32" t="s">
        <v>10</v>
      </c>
      <c r="G28" s="32"/>
      <c r="H28" s="32"/>
      <c r="I28" s="33"/>
      <c r="J28" s="34"/>
      <c r="K28" s="35"/>
    </row>
    <row r="29" spans="1:257" ht="16">
      <c r="A29" s="53" t="s">
        <v>26</v>
      </c>
      <c r="B29" s="36">
        <v>183</v>
      </c>
      <c r="C29" s="36">
        <v>25619</v>
      </c>
      <c r="D29" s="36">
        <v>25802</v>
      </c>
      <c r="E29" s="36">
        <f>+E23+E25</f>
        <v>342</v>
      </c>
      <c r="F29" s="36">
        <f>+F23+F25</f>
        <v>19973</v>
      </c>
      <c r="G29" s="28">
        <f>+E29+F29</f>
        <v>20315</v>
      </c>
      <c r="H29" s="36">
        <f>+H23+H25</f>
        <v>0</v>
      </c>
      <c r="I29" s="36">
        <f>+I23+I25</f>
        <v>0</v>
      </c>
      <c r="J29" s="36">
        <f>+J23+J25</f>
        <v>0</v>
      </c>
      <c r="K29" s="30">
        <f>SUM(G29:J29)</f>
        <v>20315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</row>
    <row r="30" spans="1:257">
      <c r="A30" s="31"/>
      <c r="B30" s="32"/>
      <c r="C30" s="32"/>
      <c r="D30" s="32"/>
      <c r="E30" s="32"/>
      <c r="F30" s="32"/>
      <c r="G30" s="32"/>
      <c r="H30" s="32"/>
      <c r="I30" s="33"/>
      <c r="J30" s="34"/>
      <c r="K30" s="35"/>
    </row>
    <row r="31" spans="1:257">
      <c r="A31" s="31" t="s">
        <v>10</v>
      </c>
      <c r="B31" s="36">
        <v>0</v>
      </c>
      <c r="C31" s="36">
        <v>0</v>
      </c>
      <c r="D31" s="28">
        <v>0</v>
      </c>
      <c r="E31" s="36">
        <f>SUM(E32:E33)</f>
        <v>0</v>
      </c>
      <c r="F31" s="36">
        <f>SUM(F32:F33)</f>
        <v>0</v>
      </c>
      <c r="G31" s="28">
        <f>+E31+F31</f>
        <v>0</v>
      </c>
      <c r="H31" s="36"/>
      <c r="I31" s="36">
        <f>SUM(I32:I33)</f>
        <v>0</v>
      </c>
      <c r="J31" s="37">
        <v>0</v>
      </c>
      <c r="K31" s="55">
        <f>SUM(G31:J31)</f>
        <v>0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</row>
    <row r="32" spans="1:257">
      <c r="A32" s="40" t="s">
        <v>10</v>
      </c>
      <c r="B32" s="41">
        <v>0</v>
      </c>
      <c r="C32" s="41">
        <v>0</v>
      </c>
      <c r="D32" s="42">
        <v>0</v>
      </c>
      <c r="E32" s="41">
        <f>((G32)/(G$6+G$4))*(E$4+E$6)</f>
        <v>0</v>
      </c>
      <c r="F32" s="41">
        <f>(G32)/(G$6+G$4)*(F$4+F$6)</f>
        <v>0</v>
      </c>
      <c r="G32" s="42">
        <v>0</v>
      </c>
      <c r="H32" s="32"/>
      <c r="I32" s="32"/>
      <c r="J32" s="34"/>
      <c r="K32" s="52"/>
    </row>
    <row r="33" spans="1:257">
      <c r="A33" s="40" t="s">
        <v>10</v>
      </c>
      <c r="B33" s="41">
        <v>0</v>
      </c>
      <c r="C33" s="41">
        <v>0</v>
      </c>
      <c r="D33" s="42">
        <v>0</v>
      </c>
      <c r="E33" s="41">
        <v>0</v>
      </c>
      <c r="F33" s="41">
        <v>0</v>
      </c>
      <c r="G33" s="42">
        <f>+E33+F33</f>
        <v>0</v>
      </c>
      <c r="H33" s="32"/>
      <c r="I33" s="32"/>
      <c r="J33" s="34"/>
      <c r="K33" s="52">
        <f>SUM(F33:J33)</f>
        <v>0</v>
      </c>
    </row>
    <row r="34" spans="1:257">
      <c r="A34" s="31"/>
      <c r="B34" s="32"/>
      <c r="C34" s="32"/>
      <c r="D34" s="32"/>
      <c r="E34" s="32"/>
      <c r="F34" s="32"/>
      <c r="G34" s="32"/>
      <c r="H34" s="32"/>
      <c r="I34" s="33"/>
      <c r="J34" s="34"/>
      <c r="K34" s="35"/>
    </row>
    <row r="35" spans="1:257" ht="16">
      <c r="A35" s="53" t="s">
        <v>27</v>
      </c>
      <c r="B35" s="36">
        <v>183</v>
      </c>
      <c r="C35" s="36">
        <v>25619</v>
      </c>
      <c r="D35" s="36">
        <v>25802</v>
      </c>
      <c r="E35" s="36">
        <f>+E29+E31</f>
        <v>342</v>
      </c>
      <c r="F35" s="36">
        <f>+F29+F31</f>
        <v>19973</v>
      </c>
      <c r="G35" s="28">
        <f>+E35+F35</f>
        <v>20315</v>
      </c>
      <c r="H35" s="36">
        <f>+H29+H31</f>
        <v>0</v>
      </c>
      <c r="I35" s="36">
        <f>+I29+I31</f>
        <v>0</v>
      </c>
      <c r="J35" s="36">
        <f>+J29+J31</f>
        <v>0</v>
      </c>
      <c r="K35" s="36">
        <f>+K29+K31</f>
        <v>20315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</row>
    <row r="36" spans="1:257">
      <c r="A36" s="31"/>
      <c r="B36" s="32"/>
      <c r="C36" s="32" t="s">
        <v>10</v>
      </c>
      <c r="D36" s="32"/>
      <c r="E36" s="32"/>
      <c r="F36" s="32" t="s">
        <v>10</v>
      </c>
      <c r="G36" s="32"/>
      <c r="H36" s="32"/>
      <c r="I36" s="33"/>
      <c r="J36" s="34"/>
      <c r="K36" s="35"/>
    </row>
    <row r="37" spans="1:257">
      <c r="A37" s="38" t="s">
        <v>28</v>
      </c>
      <c r="B37" s="32">
        <v>0</v>
      </c>
      <c r="C37" s="32">
        <v>0</v>
      </c>
      <c r="D37" s="32"/>
      <c r="E37" s="32">
        <v>0</v>
      </c>
      <c r="F37" s="32">
        <v>0</v>
      </c>
      <c r="G37" s="32"/>
      <c r="H37" s="32"/>
      <c r="I37" s="32" t="s">
        <v>10</v>
      </c>
      <c r="J37" s="48">
        <v>0</v>
      </c>
      <c r="K37" s="55">
        <f>SUM(G37:J37)</f>
        <v>0</v>
      </c>
    </row>
    <row r="38" spans="1:257">
      <c r="A38" s="31"/>
      <c r="B38" s="33"/>
      <c r="C38" s="32"/>
      <c r="D38" s="32"/>
      <c r="E38" s="33"/>
      <c r="F38" s="32"/>
      <c r="G38" s="32"/>
      <c r="H38" s="32"/>
      <c r="I38" s="33"/>
      <c r="J38" s="34"/>
      <c r="K38" s="35"/>
    </row>
    <row r="39" spans="1:257">
      <c r="A39" s="31" t="s">
        <v>29</v>
      </c>
      <c r="B39" s="36">
        <v>-8.3006129152004196</v>
      </c>
      <c r="C39" s="36">
        <v>0</v>
      </c>
      <c r="D39" s="28">
        <v>-8.3006129152004196</v>
      </c>
      <c r="E39" s="36">
        <f>-ta!E77</f>
        <v>-2.6225981340830913</v>
      </c>
      <c r="F39" s="36">
        <f>+F37-0</f>
        <v>0</v>
      </c>
      <c r="G39" s="28">
        <f>+E39</f>
        <v>-2.6225981340830913</v>
      </c>
      <c r="H39" s="28">
        <v>0</v>
      </c>
      <c r="I39" s="36">
        <v>0</v>
      </c>
      <c r="J39" s="56">
        <f>+J37-0</f>
        <v>0</v>
      </c>
      <c r="K39" s="55">
        <f>-+ta!E77</f>
        <v>-2.6225981340830913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</row>
    <row r="40" spans="1:257">
      <c r="A40" s="57" t="s">
        <v>30</v>
      </c>
      <c r="B40" s="33"/>
      <c r="C40" s="32"/>
      <c r="D40" s="32"/>
      <c r="E40" s="33"/>
      <c r="F40" s="32"/>
      <c r="G40" s="32"/>
      <c r="H40" s="32"/>
      <c r="I40" s="33"/>
      <c r="J40" s="34"/>
      <c r="K40" s="35"/>
    </row>
    <row r="41" spans="1:257" ht="16">
      <c r="A41" s="58" t="s">
        <v>31</v>
      </c>
      <c r="B41" s="59">
        <v>174.69938708480001</v>
      </c>
      <c r="C41" s="59">
        <v>25619</v>
      </c>
      <c r="D41" s="59">
        <v>25793.699387084798</v>
      </c>
      <c r="E41" s="36">
        <f>+E35+E39</f>
        <v>339.37740186591691</v>
      </c>
      <c r="F41" s="59">
        <f>+F35+F39</f>
        <v>19973</v>
      </c>
      <c r="G41" s="28">
        <f>+E41+F41</f>
        <v>20312.377401865917</v>
      </c>
      <c r="H41" s="59">
        <f>+H35+H39</f>
        <v>0</v>
      </c>
      <c r="I41" s="59">
        <f>+I35+I39</f>
        <v>0</v>
      </c>
      <c r="J41" s="59">
        <f>+J35+J39</f>
        <v>0</v>
      </c>
      <c r="K41" s="60">
        <f>+K35+K39-1</f>
        <v>20311.377401865917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</row>
    <row r="43" spans="1:257">
      <c r="B43" s="45" t="s">
        <v>10</v>
      </c>
      <c r="E43" s="45" t="s">
        <v>10</v>
      </c>
    </row>
    <row r="44" spans="1:257">
      <c r="A44" s="61">
        <v>46181</v>
      </c>
    </row>
  </sheetData>
  <printOptions horizontalCentered="1" verticalCentered="1"/>
  <pageMargins left="0.52986111111111101" right="0.43333333333333302" top="0.47083333333333299" bottom="0.23611111111111099" header="0.32986111111111099" footer="0.196527777777778"/>
  <pageSetup paperSize="9" scale="70" orientation="landscape" horizontalDpi="300" verticalDpi="300"/>
  <headerFoot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topLeftCell="A7" zoomScaleNormal="100" workbookViewId="0">
      <selection activeCell="G14" sqref="G14"/>
    </sheetView>
  </sheetViews>
  <sheetFormatPr baseColWidth="10" defaultColWidth="9" defaultRowHeight="13"/>
  <cols>
    <col min="1" max="1" width="30.5" customWidth="1"/>
    <col min="2" max="2" width="10.33203125" customWidth="1"/>
    <col min="7" max="7" width="26.6640625" customWidth="1"/>
    <col min="8" max="8" width="15" customWidth="1"/>
  </cols>
  <sheetData>
    <row r="1" spans="1:7" ht="16">
      <c r="A1" s="62">
        <f>[1]Hivatkozasok!B2</f>
        <v>0</v>
      </c>
      <c r="B1" s="14"/>
      <c r="C1" s="14"/>
      <c r="D1" s="63"/>
      <c r="E1" s="13">
        <f>[1]Hivatkozasok!B3</f>
        <v>0</v>
      </c>
      <c r="F1" s="13"/>
      <c r="G1" s="13"/>
    </row>
    <row r="2" spans="1:7" ht="21">
      <c r="A2" s="63"/>
      <c r="B2" s="63"/>
      <c r="C2" s="63"/>
      <c r="D2" s="63"/>
      <c r="E2" s="63"/>
      <c r="F2" s="63"/>
      <c r="G2" s="64" t="s">
        <v>32</v>
      </c>
    </row>
    <row r="3" spans="1:7" ht="63" customHeight="1">
      <c r="A3" s="12" t="s">
        <v>33</v>
      </c>
      <c r="B3" s="12"/>
      <c r="C3" s="12"/>
      <c r="D3" s="12"/>
      <c r="E3" s="12"/>
      <c r="F3" s="12"/>
      <c r="G3" s="12"/>
    </row>
    <row r="4" spans="1:7" ht="16">
      <c r="A4" s="63"/>
      <c r="B4" s="63"/>
      <c r="C4" s="63"/>
      <c r="D4" s="63"/>
      <c r="E4" s="63"/>
      <c r="F4" s="63"/>
      <c r="G4" s="65"/>
    </row>
    <row r="5" spans="1:7" ht="16.5" customHeight="1">
      <c r="A5" s="11" t="s">
        <v>34</v>
      </c>
      <c r="B5" s="11"/>
      <c r="C5" s="11"/>
      <c r="D5" s="11"/>
      <c r="E5" s="11"/>
      <c r="F5" s="66" t="s">
        <v>35</v>
      </c>
      <c r="G5" s="67" t="s">
        <v>36</v>
      </c>
    </row>
    <row r="6" spans="1:7" ht="15.75" customHeight="1">
      <c r="A6" s="10" t="s">
        <v>37</v>
      </c>
      <c r="B6" s="9" t="s">
        <v>38</v>
      </c>
      <c r="C6" s="9"/>
      <c r="D6" s="9"/>
      <c r="E6" s="9"/>
      <c r="F6" s="8" t="s">
        <v>39</v>
      </c>
      <c r="G6" s="68">
        <f>+eredmény!E4</f>
        <v>365</v>
      </c>
    </row>
    <row r="7" spans="1:7" ht="15.75" customHeight="1">
      <c r="A7" s="10"/>
      <c r="B7" s="7" t="s">
        <v>40</v>
      </c>
      <c r="C7" s="7"/>
      <c r="D7" s="7"/>
      <c r="E7" s="7"/>
      <c r="F7" s="8"/>
      <c r="G7" s="69"/>
    </row>
    <row r="8" spans="1:7" ht="15.75" customHeight="1">
      <c r="A8" s="10"/>
      <c r="B8" s="7" t="s">
        <v>41</v>
      </c>
      <c r="C8" s="7"/>
      <c r="D8" s="7"/>
      <c r="E8" s="7"/>
      <c r="F8" s="8"/>
      <c r="G8" s="69"/>
    </row>
    <row r="9" spans="1:7" ht="15.75" customHeight="1">
      <c r="A9" s="10"/>
      <c r="B9" s="7" t="s">
        <v>42</v>
      </c>
      <c r="C9" s="7"/>
      <c r="D9" s="7"/>
      <c r="E9" s="7"/>
      <c r="F9" s="8"/>
      <c r="G9" s="69"/>
    </row>
    <row r="10" spans="1:7" ht="15.75" customHeight="1">
      <c r="A10" s="10"/>
      <c r="B10" s="7" t="s">
        <v>43</v>
      </c>
      <c r="C10" s="7"/>
      <c r="D10" s="7"/>
      <c r="E10" s="7"/>
      <c r="F10" s="8"/>
      <c r="G10" s="69"/>
    </row>
    <row r="11" spans="1:7" ht="16">
      <c r="A11" s="10"/>
      <c r="B11" s="70" t="s">
        <v>44</v>
      </c>
      <c r="C11" s="71"/>
      <c r="D11" s="71"/>
      <c r="E11" s="72"/>
      <c r="F11" s="71"/>
      <c r="G11" s="73">
        <f>+G6-G7-G8-G9-G10</f>
        <v>365</v>
      </c>
    </row>
    <row r="12" spans="1:7" ht="16">
      <c r="A12" s="74"/>
      <c r="B12" s="75"/>
      <c r="C12" s="75"/>
      <c r="D12" s="75"/>
      <c r="E12" s="75"/>
      <c r="F12" s="75"/>
      <c r="G12" s="73"/>
    </row>
    <row r="13" spans="1:7" ht="47.25" customHeight="1">
      <c r="A13" s="6" t="s">
        <v>45</v>
      </c>
      <c r="B13" s="76" t="s">
        <v>46</v>
      </c>
      <c r="C13" s="77"/>
      <c r="D13" s="77"/>
      <c r="E13" s="78"/>
      <c r="F13" s="79" t="s">
        <v>47</v>
      </c>
      <c r="G13" s="69">
        <v>0</v>
      </c>
    </row>
    <row r="14" spans="1:7" ht="34">
      <c r="A14" s="6"/>
      <c r="B14" s="80" t="s">
        <v>48</v>
      </c>
      <c r="C14" s="81"/>
      <c r="D14" s="81"/>
      <c r="E14" s="82"/>
      <c r="F14" s="79" t="s">
        <v>49</v>
      </c>
      <c r="G14" s="69">
        <v>0</v>
      </c>
    </row>
    <row r="15" spans="1:7" ht="51">
      <c r="A15" s="6"/>
      <c r="B15" s="83" t="s">
        <v>50</v>
      </c>
      <c r="C15" s="84"/>
      <c r="D15" s="84"/>
      <c r="E15" s="85"/>
      <c r="F15" s="79" t="s">
        <v>51</v>
      </c>
      <c r="G15" s="69">
        <f>-eredmény!E11</f>
        <v>17</v>
      </c>
    </row>
    <row r="16" spans="1:7" ht="16">
      <c r="A16" s="6"/>
      <c r="B16" s="70" t="s">
        <v>44</v>
      </c>
      <c r="C16" s="71"/>
      <c r="D16" s="71"/>
      <c r="E16" s="72"/>
      <c r="F16" s="71"/>
      <c r="G16" s="73">
        <f>SUM(G13:G15)</f>
        <v>17</v>
      </c>
    </row>
    <row r="17" spans="1:7" ht="16.5" customHeight="1">
      <c r="A17" s="5" t="s">
        <v>52</v>
      </c>
      <c r="B17" s="5"/>
      <c r="C17" s="5"/>
      <c r="D17" s="5"/>
      <c r="E17" s="5"/>
      <c r="F17" s="5"/>
      <c r="G17" s="86">
        <f>+G11-G16</f>
        <v>348</v>
      </c>
    </row>
    <row r="18" spans="1:7" ht="14">
      <c r="A18" s="87"/>
      <c r="B18" s="87"/>
      <c r="C18" s="87"/>
      <c r="D18" s="87"/>
      <c r="E18" s="87"/>
      <c r="F18" s="87"/>
      <c r="G18" s="88"/>
    </row>
    <row r="19" spans="1:7" ht="31.5" customHeight="1">
      <c r="A19" s="4" t="s">
        <v>53</v>
      </c>
      <c r="B19" s="3" t="s">
        <v>54</v>
      </c>
      <c r="C19" s="3"/>
      <c r="D19" s="3"/>
      <c r="E19" s="3"/>
      <c r="F19" s="89" t="s">
        <v>55</v>
      </c>
      <c r="G19" s="68"/>
    </row>
    <row r="20" spans="1:7" ht="15.75" customHeight="1">
      <c r="A20" s="4"/>
      <c r="B20" s="3" t="s">
        <v>56</v>
      </c>
      <c r="C20" s="3"/>
      <c r="D20" s="3"/>
      <c r="E20" s="3"/>
      <c r="F20" s="89" t="s">
        <v>57</v>
      </c>
      <c r="G20" s="68"/>
    </row>
    <row r="21" spans="1:7" ht="16">
      <c r="A21" s="4"/>
      <c r="B21" s="70" t="s">
        <v>44</v>
      </c>
      <c r="C21" s="71"/>
      <c r="D21" s="71"/>
      <c r="E21" s="72"/>
      <c r="F21" s="71"/>
      <c r="G21" s="73">
        <f>SUM(G19:G20)</f>
        <v>0</v>
      </c>
    </row>
    <row r="22" spans="1:7" ht="15.75" customHeight="1">
      <c r="A22" s="2" t="s">
        <v>58</v>
      </c>
      <c r="B22" s="1"/>
      <c r="C22" s="1"/>
      <c r="D22" s="1"/>
      <c r="E22" s="1"/>
      <c r="F22" s="178" t="s">
        <v>59</v>
      </c>
      <c r="G22" s="68"/>
    </row>
    <row r="23" spans="1:7" ht="16">
      <c r="A23" s="2"/>
      <c r="B23" s="1"/>
      <c r="C23" s="1"/>
      <c r="D23" s="1"/>
      <c r="E23" s="1"/>
      <c r="F23" s="178"/>
      <c r="G23" s="68"/>
    </row>
    <row r="24" spans="1:7" ht="16">
      <c r="A24" s="2"/>
      <c r="B24" s="1"/>
      <c r="C24" s="1"/>
      <c r="D24" s="1"/>
      <c r="E24" s="1"/>
      <c r="F24" s="178"/>
      <c r="G24" s="68"/>
    </row>
    <row r="25" spans="1:7" ht="16">
      <c r="A25" s="2"/>
      <c r="B25" s="1"/>
      <c r="C25" s="1"/>
      <c r="D25" s="1"/>
      <c r="E25" s="1"/>
      <c r="F25" s="178"/>
      <c r="G25" s="68"/>
    </row>
    <row r="26" spans="1:7" ht="16">
      <c r="A26" s="2"/>
      <c r="B26" s="1"/>
      <c r="C26" s="1"/>
      <c r="D26" s="1"/>
      <c r="E26" s="1"/>
      <c r="F26" s="178"/>
      <c r="G26" s="68"/>
    </row>
    <row r="27" spans="1:7" ht="16">
      <c r="A27" s="2"/>
      <c r="B27" s="70" t="s">
        <v>44</v>
      </c>
      <c r="C27" s="71"/>
      <c r="D27" s="71"/>
      <c r="E27" s="72"/>
      <c r="F27" s="71"/>
      <c r="G27" s="73">
        <f>SUM(G22:G26)</f>
        <v>0</v>
      </c>
    </row>
    <row r="28" spans="1:7" ht="16.5" customHeight="1">
      <c r="A28" s="5" t="s">
        <v>60</v>
      </c>
      <c r="B28" s="5"/>
      <c r="C28" s="5"/>
      <c r="D28" s="5"/>
      <c r="E28" s="5"/>
      <c r="F28" s="5"/>
      <c r="G28" s="86">
        <f>IF(+G17-G21-G27&gt;0,+G17-G21-G27,0)</f>
        <v>348</v>
      </c>
    </row>
    <row r="29" spans="1:7" ht="14">
      <c r="A29" s="87"/>
      <c r="B29" s="87"/>
      <c r="C29" s="87"/>
      <c r="D29" s="87"/>
      <c r="E29" s="87"/>
      <c r="F29" s="87"/>
      <c r="G29" s="88"/>
    </row>
    <row r="30" spans="1:7" ht="16">
      <c r="A30" s="90"/>
      <c r="B30" s="91"/>
      <c r="C30" s="91"/>
      <c r="D30" s="91"/>
      <c r="E30" s="91"/>
      <c r="F30" s="91"/>
      <c r="G30" s="92"/>
    </row>
    <row r="31" spans="1:7" ht="12.75" customHeight="1">
      <c r="A31" s="179" t="s">
        <v>61</v>
      </c>
      <c r="B31" s="180" t="s">
        <v>62</v>
      </c>
      <c r="C31" s="180" t="s">
        <v>63</v>
      </c>
      <c r="D31" s="180" t="s">
        <v>64</v>
      </c>
      <c r="E31" s="181" t="s">
        <v>65</v>
      </c>
      <c r="F31" s="181"/>
      <c r="G31" s="182" t="s">
        <v>66</v>
      </c>
    </row>
    <row r="32" spans="1:7" ht="24" customHeight="1">
      <c r="A32" s="179"/>
      <c r="B32" s="180"/>
      <c r="C32" s="180"/>
      <c r="D32" s="180"/>
      <c r="E32" s="181"/>
      <c r="F32" s="181"/>
      <c r="G32" s="182"/>
    </row>
    <row r="33" spans="1:7" ht="21" customHeight="1">
      <c r="A33" s="93" t="s">
        <v>67</v>
      </c>
      <c r="B33" s="94">
        <v>100</v>
      </c>
      <c r="C33" s="94">
        <v>1.8</v>
      </c>
      <c r="D33" s="95">
        <f>IF(B33&gt;0,SUM($G$28*B33*C33)/10000,0)</f>
        <v>6.2640000000000002</v>
      </c>
      <c r="E33" s="183">
        <v>0</v>
      </c>
      <c r="F33" s="183"/>
      <c r="G33" s="95">
        <f>IF(D33-E33&gt;0,D33-E33,0)</f>
        <v>6.2640000000000002</v>
      </c>
    </row>
    <row r="34" spans="1:7" ht="17">
      <c r="A34" s="96" t="s">
        <v>10</v>
      </c>
      <c r="B34" s="97">
        <v>0</v>
      </c>
      <c r="C34" s="97">
        <v>1.4</v>
      </c>
      <c r="D34" s="98">
        <f>IF(B34&gt;0,SUM($G$28*B34*C34)/10000,0)</f>
        <v>0</v>
      </c>
      <c r="E34" s="183"/>
      <c r="F34" s="183"/>
      <c r="G34" s="98">
        <f>IF(D34-E34&gt;0,D34-E34,0)</f>
        <v>0</v>
      </c>
    </row>
    <row r="35" spans="1:7" ht="17">
      <c r="A35" s="96" t="s">
        <v>10</v>
      </c>
      <c r="B35" s="97">
        <v>0</v>
      </c>
      <c r="C35" s="97">
        <v>1.5</v>
      </c>
      <c r="D35" s="98">
        <f>IF(B35&gt;0,SUM($G$28*B35*C35)/10000,0)</f>
        <v>0</v>
      </c>
      <c r="E35" s="183"/>
      <c r="F35" s="183"/>
      <c r="G35" s="98">
        <f>IF(D35-E35&gt;0,D35-E35,0)</f>
        <v>0</v>
      </c>
    </row>
    <row r="36" spans="1:7" ht="16">
      <c r="A36" s="96"/>
      <c r="B36" s="97"/>
      <c r="C36" s="97"/>
      <c r="D36" s="98">
        <f>IF(B36&gt;0,SUM($G$28*B36*C36)/10000,0)</f>
        <v>0</v>
      </c>
      <c r="E36" s="183"/>
      <c r="F36" s="183"/>
      <c r="G36" s="98">
        <f>IF(D36-E36&gt;0,D36-E36,0)</f>
        <v>0</v>
      </c>
    </row>
    <row r="37" spans="1:7" ht="16">
      <c r="A37" s="99"/>
      <c r="B37" s="100"/>
      <c r="C37" s="100"/>
      <c r="D37" s="101">
        <f>IF(B37&gt;0,SUM($G$28*B37*C37)/10000,0)</f>
        <v>0</v>
      </c>
      <c r="E37" s="183"/>
      <c r="F37" s="183"/>
      <c r="G37" s="101">
        <f>IF(D37-E37&gt;0,D37-E37,0)</f>
        <v>0</v>
      </c>
    </row>
    <row r="38" spans="1:7" ht="16.5" customHeight="1">
      <c r="A38" s="102"/>
      <c r="B38" s="103">
        <f>SUM(B33:B37)</f>
        <v>100</v>
      </c>
      <c r="C38" s="184" t="s">
        <v>68</v>
      </c>
      <c r="D38" s="184"/>
      <c r="E38" s="184"/>
      <c r="F38" s="104"/>
      <c r="G38" s="86">
        <f>SUM(G33:G37)</f>
        <v>6.2640000000000002</v>
      </c>
    </row>
    <row r="39" spans="1:7" ht="17">
      <c r="A39" s="105" t="s">
        <v>69</v>
      </c>
      <c r="B39" s="106"/>
      <c r="C39" s="106"/>
      <c r="D39" s="106"/>
      <c r="E39" s="106"/>
      <c r="F39" s="106"/>
      <c r="G39" s="107"/>
    </row>
    <row r="40" spans="1:7" ht="20">
      <c r="A40" s="108" t="s">
        <v>70</v>
      </c>
      <c r="B40" s="109"/>
      <c r="C40" s="109"/>
      <c r="D40" s="109"/>
      <c r="E40" s="109"/>
      <c r="F40" s="109"/>
      <c r="G40" s="110">
        <f>SUM(G39-G38)</f>
        <v>-6.2640000000000002</v>
      </c>
    </row>
  </sheetData>
  <mergeCells count="36">
    <mergeCell ref="E37:F37"/>
    <mergeCell ref="C38:E38"/>
    <mergeCell ref="G31:G32"/>
    <mergeCell ref="E33:F33"/>
    <mergeCell ref="E34:F34"/>
    <mergeCell ref="E35:F35"/>
    <mergeCell ref="E36:F36"/>
    <mergeCell ref="A28:F28"/>
    <mergeCell ref="A31:A32"/>
    <mergeCell ref="B31:B32"/>
    <mergeCell ref="C31:C32"/>
    <mergeCell ref="D31:D32"/>
    <mergeCell ref="E31:F32"/>
    <mergeCell ref="A22:A27"/>
    <mergeCell ref="B22:E22"/>
    <mergeCell ref="F22:F26"/>
    <mergeCell ref="B23:E23"/>
    <mergeCell ref="B24:E24"/>
    <mergeCell ref="B25:E25"/>
    <mergeCell ref="B26:E26"/>
    <mergeCell ref="A13:A16"/>
    <mergeCell ref="A17:F17"/>
    <mergeCell ref="A19:A21"/>
    <mergeCell ref="B19:E19"/>
    <mergeCell ref="B20:E20"/>
    <mergeCell ref="B1:C1"/>
    <mergeCell ref="E1:G1"/>
    <mergeCell ref="A3:G3"/>
    <mergeCell ref="A5:E5"/>
    <mergeCell ref="A6:A11"/>
    <mergeCell ref="B6:E6"/>
    <mergeCell ref="F6:F10"/>
    <mergeCell ref="B7:E7"/>
    <mergeCell ref="B8:E8"/>
    <mergeCell ref="B9:E9"/>
    <mergeCell ref="B10:E10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"/>
  <sheetViews>
    <sheetView topLeftCell="A40" zoomScaleNormal="100" workbookViewId="0">
      <selection activeCell="E49" sqref="E49"/>
    </sheetView>
  </sheetViews>
  <sheetFormatPr baseColWidth="10" defaultColWidth="9" defaultRowHeight="13"/>
  <cols>
    <col min="2" max="2" width="83.6640625" customWidth="1"/>
    <col min="3" max="3" width="14.6640625" customWidth="1"/>
    <col min="4" max="4" width="12.5" customWidth="1"/>
    <col min="5" max="5" width="17.5" customWidth="1"/>
    <col min="6" max="6" width="19.5" customWidth="1"/>
  </cols>
  <sheetData>
    <row r="1" spans="1:6" ht="16">
      <c r="A1" s="111"/>
      <c r="B1" s="112"/>
      <c r="C1" s="113"/>
      <c r="D1" s="114"/>
      <c r="E1" s="115"/>
      <c r="F1" s="115"/>
    </row>
    <row r="2" spans="1:6" ht="23.25" customHeight="1">
      <c r="A2" s="185" t="s">
        <v>71</v>
      </c>
      <c r="B2" s="185"/>
      <c r="C2" s="185"/>
      <c r="D2" s="185"/>
      <c r="E2" s="185"/>
      <c r="F2" s="185"/>
    </row>
    <row r="3" spans="1:6" ht="15" customHeight="1">
      <c r="A3" s="186" t="s">
        <v>72</v>
      </c>
      <c r="B3" s="186"/>
      <c r="C3" s="186"/>
      <c r="D3" s="186"/>
      <c r="E3" s="186"/>
      <c r="F3" s="186"/>
    </row>
    <row r="4" spans="1:6" ht="16">
      <c r="A4" s="187" t="s">
        <v>10</v>
      </c>
      <c r="B4" s="187"/>
      <c r="C4" s="187"/>
      <c r="D4" s="187"/>
      <c r="E4" s="187"/>
      <c r="F4" s="187"/>
    </row>
    <row r="5" spans="1:6" ht="16">
      <c r="A5" s="111"/>
      <c r="B5" s="112"/>
      <c r="C5" s="113"/>
      <c r="D5" s="114"/>
      <c r="E5" s="115"/>
      <c r="F5" s="115"/>
    </row>
    <row r="6" spans="1:6">
      <c r="A6" s="116"/>
      <c r="B6" s="117"/>
      <c r="C6" s="188" t="s">
        <v>73</v>
      </c>
      <c r="D6" s="188"/>
      <c r="E6" s="188"/>
      <c r="F6" s="188"/>
    </row>
    <row r="7" spans="1:6" ht="36" customHeight="1">
      <c r="A7" s="189" t="s">
        <v>74</v>
      </c>
      <c r="B7" s="189"/>
      <c r="C7" s="119" t="s">
        <v>35</v>
      </c>
      <c r="D7" s="118"/>
      <c r="E7" s="120">
        <v>2026</v>
      </c>
      <c r="F7" s="121" t="s">
        <v>75</v>
      </c>
    </row>
    <row r="8" spans="1:6" ht="30" customHeight="1">
      <c r="A8" s="190" t="s">
        <v>76</v>
      </c>
      <c r="B8" s="190"/>
      <c r="C8" s="123"/>
      <c r="D8" s="124"/>
      <c r="E8" s="125">
        <f>+eredmény!G35</f>
        <v>20315</v>
      </c>
      <c r="F8" s="126" t="s">
        <v>77</v>
      </c>
    </row>
    <row r="9" spans="1:6" ht="15.75" customHeight="1">
      <c r="A9" s="191" t="s">
        <v>78</v>
      </c>
      <c r="B9" s="191"/>
      <c r="C9" s="123"/>
      <c r="D9" s="124"/>
      <c r="E9" s="127"/>
      <c r="F9" s="127"/>
    </row>
    <row r="10" spans="1:6" ht="42" customHeight="1">
      <c r="A10" s="128">
        <v>1</v>
      </c>
      <c r="B10" s="129" t="s">
        <v>79</v>
      </c>
      <c r="C10" s="130" t="s">
        <v>80</v>
      </c>
      <c r="D10" s="131" t="s">
        <v>81</v>
      </c>
      <c r="E10" s="132">
        <v>0</v>
      </c>
      <c r="F10" s="133"/>
    </row>
    <row r="11" spans="1:6" ht="42" customHeight="1">
      <c r="A11" s="128"/>
      <c r="B11" s="129" t="s">
        <v>82</v>
      </c>
      <c r="C11" s="123" t="s">
        <v>83</v>
      </c>
      <c r="D11" s="131" t="s">
        <v>10</v>
      </c>
      <c r="E11" s="133">
        <v>0</v>
      </c>
      <c r="F11" s="133"/>
    </row>
    <row r="12" spans="1:6" ht="42" customHeight="1">
      <c r="A12" s="128">
        <v>2</v>
      </c>
      <c r="B12" s="129" t="s">
        <v>84</v>
      </c>
      <c r="C12" s="134" t="s">
        <v>85</v>
      </c>
      <c r="D12" s="131" t="s">
        <v>86</v>
      </c>
      <c r="E12" s="133"/>
      <c r="F12" s="135"/>
    </row>
    <row r="13" spans="1:6" ht="42" customHeight="1">
      <c r="A13" s="128">
        <v>3</v>
      </c>
      <c r="B13" s="129" t="s">
        <v>87</v>
      </c>
      <c r="C13" s="130" t="s">
        <v>88</v>
      </c>
      <c r="D13" s="131" t="s">
        <v>81</v>
      </c>
      <c r="E13" s="133"/>
      <c r="F13" s="135"/>
    </row>
    <row r="14" spans="1:6" ht="42" customHeight="1">
      <c r="A14" s="128">
        <v>4</v>
      </c>
      <c r="B14" s="129" t="s">
        <v>89</v>
      </c>
      <c r="C14" s="134" t="s">
        <v>90</v>
      </c>
      <c r="D14" s="131" t="s">
        <v>86</v>
      </c>
      <c r="E14" s="133">
        <f>-eredmény!K18</f>
        <v>21781</v>
      </c>
      <c r="F14" s="136"/>
    </row>
    <row r="15" spans="1:6" ht="42" customHeight="1">
      <c r="A15" s="128">
        <v>5</v>
      </c>
      <c r="B15" s="129" t="s">
        <v>91</v>
      </c>
      <c r="C15" s="134" t="s">
        <v>90</v>
      </c>
      <c r="D15" s="131" t="s">
        <v>86</v>
      </c>
      <c r="E15" s="133">
        <f>[2]Hivatkozasok!B6</f>
        <v>0</v>
      </c>
      <c r="F15" s="137"/>
    </row>
    <row r="16" spans="1:6" ht="42" customHeight="1">
      <c r="A16" s="128">
        <v>6</v>
      </c>
      <c r="B16" s="138" t="s">
        <v>92</v>
      </c>
      <c r="C16" s="134" t="s">
        <v>90</v>
      </c>
      <c r="D16" s="131" t="s">
        <v>86</v>
      </c>
      <c r="E16" s="133"/>
      <c r="F16" s="137"/>
    </row>
    <row r="17" spans="1:6" ht="42" customHeight="1">
      <c r="A17" s="128">
        <v>7</v>
      </c>
      <c r="B17" s="129" t="s">
        <v>93</v>
      </c>
      <c r="C17" s="130" t="s">
        <v>94</v>
      </c>
      <c r="D17" s="131" t="s">
        <v>81</v>
      </c>
      <c r="E17" s="132">
        <v>21925</v>
      </c>
      <c r="F17" s="133"/>
    </row>
    <row r="18" spans="1:6" ht="42" customHeight="1">
      <c r="A18" s="128">
        <v>8</v>
      </c>
      <c r="B18" s="129" t="s">
        <v>95</v>
      </c>
      <c r="C18" s="130" t="s">
        <v>94</v>
      </c>
      <c r="D18" s="131" t="s">
        <v>81</v>
      </c>
      <c r="E18" s="133"/>
      <c r="F18" s="133"/>
    </row>
    <row r="19" spans="1:6" ht="42" customHeight="1">
      <c r="A19" s="128">
        <v>9</v>
      </c>
      <c r="B19" s="129" t="s">
        <v>96</v>
      </c>
      <c r="C19" s="130" t="s">
        <v>97</v>
      </c>
      <c r="D19" s="131" t="s">
        <v>81</v>
      </c>
      <c r="E19" s="133"/>
      <c r="F19" s="136"/>
    </row>
    <row r="20" spans="1:6" ht="42" customHeight="1">
      <c r="A20" s="128">
        <v>10</v>
      </c>
      <c r="B20" s="129" t="s">
        <v>98</v>
      </c>
      <c r="C20" s="123" t="s">
        <v>99</v>
      </c>
      <c r="D20" s="131" t="s">
        <v>81</v>
      </c>
      <c r="E20" s="133">
        <v>0</v>
      </c>
      <c r="F20" s="133"/>
    </row>
    <row r="21" spans="1:6" ht="42" customHeight="1">
      <c r="A21" s="128">
        <v>11</v>
      </c>
      <c r="B21" s="129" t="s">
        <v>100</v>
      </c>
      <c r="C21" s="134" t="s">
        <v>101</v>
      </c>
      <c r="D21" s="131" t="s">
        <v>86</v>
      </c>
      <c r="E21" s="132">
        <v>0</v>
      </c>
      <c r="F21" s="136"/>
    </row>
    <row r="22" spans="1:6" ht="42" customHeight="1">
      <c r="A22" s="128">
        <v>12</v>
      </c>
      <c r="B22" s="129" t="s">
        <v>102</v>
      </c>
      <c r="C22" s="130" t="s">
        <v>103</v>
      </c>
      <c r="D22" s="131" t="s">
        <v>81</v>
      </c>
      <c r="E22" s="133"/>
      <c r="F22" s="133"/>
    </row>
    <row r="23" spans="1:6" ht="42" customHeight="1">
      <c r="A23" s="128">
        <v>13</v>
      </c>
      <c r="B23" s="129" t="s">
        <v>104</v>
      </c>
      <c r="C23" s="134" t="s">
        <v>105</v>
      </c>
      <c r="D23" s="131" t="s">
        <v>86</v>
      </c>
      <c r="E23" s="133"/>
      <c r="F23" s="136"/>
    </row>
    <row r="24" spans="1:6" ht="42" customHeight="1">
      <c r="A24" s="128">
        <v>14</v>
      </c>
      <c r="B24" s="129" t="s">
        <v>106</v>
      </c>
      <c r="C24" s="130" t="s">
        <v>107</v>
      </c>
      <c r="D24" s="131" t="s">
        <v>81</v>
      </c>
      <c r="E24" s="133"/>
      <c r="F24" s="136"/>
    </row>
    <row r="25" spans="1:6" ht="42" customHeight="1">
      <c r="A25" s="128">
        <v>15</v>
      </c>
      <c r="B25" s="129" t="s">
        <v>108</v>
      </c>
      <c r="C25" s="134" t="s">
        <v>109</v>
      </c>
      <c r="D25" s="131" t="s">
        <v>86</v>
      </c>
      <c r="E25" s="133"/>
      <c r="F25" s="133"/>
    </row>
    <row r="26" spans="1:6" ht="42" customHeight="1">
      <c r="A26" s="128">
        <v>16</v>
      </c>
      <c r="B26" s="129" t="s">
        <v>110</v>
      </c>
      <c r="C26" s="130" t="s">
        <v>111</v>
      </c>
      <c r="D26" s="131" t="s">
        <v>81</v>
      </c>
      <c r="E26" s="133"/>
      <c r="F26" s="133"/>
    </row>
    <row r="27" spans="1:6" ht="42" customHeight="1">
      <c r="A27" s="128">
        <v>17</v>
      </c>
      <c r="B27" s="129" t="s">
        <v>112</v>
      </c>
      <c r="C27" s="130" t="s">
        <v>111</v>
      </c>
      <c r="D27" s="131" t="s">
        <v>81</v>
      </c>
      <c r="E27" s="133"/>
      <c r="F27" s="133"/>
    </row>
    <row r="28" spans="1:6" ht="42" customHeight="1">
      <c r="A28" s="128">
        <v>18</v>
      </c>
      <c r="B28" s="129" t="s">
        <v>113</v>
      </c>
      <c r="C28" s="123" t="s">
        <v>114</v>
      </c>
      <c r="D28" s="131" t="s">
        <v>81</v>
      </c>
      <c r="E28" s="133"/>
      <c r="F28" s="133"/>
    </row>
    <row r="29" spans="1:6" ht="42" customHeight="1">
      <c r="A29" s="128">
        <v>19</v>
      </c>
      <c r="B29" s="129" t="s">
        <v>115</v>
      </c>
      <c r="C29" s="134" t="s">
        <v>116</v>
      </c>
      <c r="D29" s="131" t="s">
        <v>86</v>
      </c>
      <c r="E29" s="133"/>
      <c r="F29" s="133"/>
    </row>
    <row r="30" spans="1:6" ht="42" customHeight="1">
      <c r="A30" s="128">
        <v>20</v>
      </c>
      <c r="B30" s="129" t="s">
        <v>117</v>
      </c>
      <c r="C30" s="130" t="s">
        <v>118</v>
      </c>
      <c r="D30" s="131" t="s">
        <v>81</v>
      </c>
      <c r="E30" s="133"/>
      <c r="F30" s="133"/>
    </row>
    <row r="31" spans="1:6" ht="42" customHeight="1">
      <c r="A31" s="128">
        <v>21</v>
      </c>
      <c r="B31" s="129" t="s">
        <v>119</v>
      </c>
      <c r="C31" s="130" t="s">
        <v>120</v>
      </c>
      <c r="D31" s="131" t="s">
        <v>81</v>
      </c>
      <c r="E31" s="133"/>
      <c r="F31" s="136"/>
    </row>
    <row r="32" spans="1:6" ht="42" customHeight="1">
      <c r="A32" s="128">
        <v>22</v>
      </c>
      <c r="B32" s="129" t="s">
        <v>121</v>
      </c>
      <c r="C32" s="123" t="s">
        <v>122</v>
      </c>
      <c r="D32" s="131" t="s">
        <v>86</v>
      </c>
      <c r="E32" s="133"/>
      <c r="F32" s="133"/>
    </row>
    <row r="33" spans="1:6" ht="42" customHeight="1">
      <c r="A33" s="128">
        <v>23</v>
      </c>
      <c r="B33" s="129" t="s">
        <v>123</v>
      </c>
      <c r="C33" s="130" t="s">
        <v>124</v>
      </c>
      <c r="D33" s="131" t="s">
        <v>81</v>
      </c>
      <c r="E33" s="133"/>
      <c r="F33" s="139"/>
    </row>
    <row r="34" spans="1:6" ht="42" customHeight="1">
      <c r="A34" s="128">
        <v>24</v>
      </c>
      <c r="B34" s="129" t="s">
        <v>125</v>
      </c>
      <c r="C34" s="130" t="s">
        <v>126</v>
      </c>
      <c r="D34" s="131" t="s">
        <v>81</v>
      </c>
      <c r="E34" s="133"/>
      <c r="F34" s="136"/>
    </row>
    <row r="35" spans="1:6" ht="42" customHeight="1">
      <c r="A35" s="128">
        <v>25</v>
      </c>
      <c r="B35" s="129" t="s">
        <v>127</v>
      </c>
      <c r="C35" s="123" t="s">
        <v>128</v>
      </c>
      <c r="D35" s="131" t="s">
        <v>81</v>
      </c>
      <c r="E35" s="132">
        <v>0</v>
      </c>
      <c r="F35" s="133"/>
    </row>
    <row r="36" spans="1:6" ht="42" customHeight="1">
      <c r="A36" s="128">
        <v>26</v>
      </c>
      <c r="B36" s="129" t="s">
        <v>129</v>
      </c>
      <c r="C36" s="123" t="s">
        <v>130</v>
      </c>
      <c r="D36" s="131" t="s">
        <v>86</v>
      </c>
      <c r="E36" s="133"/>
      <c r="F36" s="133"/>
    </row>
    <row r="37" spans="1:6" ht="42" customHeight="1">
      <c r="A37" s="128">
        <v>27</v>
      </c>
      <c r="B37" s="129" t="s">
        <v>131</v>
      </c>
      <c r="C37" s="123" t="s">
        <v>132</v>
      </c>
      <c r="D37" s="131" t="s">
        <v>86</v>
      </c>
      <c r="E37" s="133"/>
      <c r="F37" s="133"/>
    </row>
    <row r="38" spans="1:6" ht="42" customHeight="1">
      <c r="A38" s="128">
        <v>28</v>
      </c>
      <c r="B38" s="129" t="s">
        <v>133</v>
      </c>
      <c r="C38" s="123" t="s">
        <v>134</v>
      </c>
      <c r="D38" s="131" t="s">
        <v>81</v>
      </c>
      <c r="E38" s="133"/>
      <c r="F38" s="133"/>
    </row>
    <row r="39" spans="1:6" ht="42" customHeight="1">
      <c r="A39" s="128">
        <v>29</v>
      </c>
      <c r="B39" s="129" t="s">
        <v>135</v>
      </c>
      <c r="C39" s="134" t="s">
        <v>136</v>
      </c>
      <c r="D39" s="131" t="s">
        <v>86</v>
      </c>
      <c r="E39" s="133">
        <v>0</v>
      </c>
      <c r="F39" s="133"/>
    </row>
    <row r="40" spans="1:6" ht="42" customHeight="1">
      <c r="A40" s="128">
        <v>30</v>
      </c>
      <c r="B40" s="129" t="s">
        <v>137</v>
      </c>
      <c r="C40" s="123" t="s">
        <v>138</v>
      </c>
      <c r="D40" s="131" t="s">
        <v>81</v>
      </c>
      <c r="E40" s="133"/>
      <c r="F40" s="133"/>
    </row>
    <row r="41" spans="1:6" ht="42" customHeight="1">
      <c r="A41" s="128">
        <v>31</v>
      </c>
      <c r="B41" s="129" t="s">
        <v>139</v>
      </c>
      <c r="C41" s="140" t="s">
        <v>140</v>
      </c>
      <c r="D41" s="131" t="s">
        <v>81</v>
      </c>
      <c r="E41" s="133"/>
      <c r="F41" s="133"/>
    </row>
    <row r="42" spans="1:6" ht="42" customHeight="1">
      <c r="A42" s="128">
        <v>32</v>
      </c>
      <c r="B42" s="129" t="s">
        <v>141</v>
      </c>
      <c r="C42" s="141" t="s">
        <v>142</v>
      </c>
      <c r="D42" s="131" t="s">
        <v>86</v>
      </c>
      <c r="E42" s="133"/>
      <c r="F42" s="133"/>
    </row>
    <row r="43" spans="1:6" ht="42" customHeight="1">
      <c r="A43" s="128">
        <v>33</v>
      </c>
      <c r="B43" s="129" t="s">
        <v>143</v>
      </c>
      <c r="C43" s="142" t="s">
        <v>144</v>
      </c>
      <c r="D43" s="131" t="s">
        <v>86</v>
      </c>
      <c r="E43" s="133"/>
      <c r="F43" s="133"/>
    </row>
    <row r="44" spans="1:6" ht="42" customHeight="1">
      <c r="A44" s="128">
        <v>34</v>
      </c>
      <c r="B44" s="129" t="s">
        <v>145</v>
      </c>
      <c r="C44" s="143" t="s">
        <v>146</v>
      </c>
      <c r="D44" s="131" t="s">
        <v>81</v>
      </c>
      <c r="E44" s="133"/>
      <c r="F44" s="133"/>
    </row>
    <row r="45" spans="1:6" ht="42" customHeight="1">
      <c r="A45" s="128">
        <v>35</v>
      </c>
      <c r="B45" s="129" t="s">
        <v>147</v>
      </c>
      <c r="C45" s="134" t="s">
        <v>148</v>
      </c>
      <c r="D45" s="131" t="s">
        <v>86</v>
      </c>
      <c r="E45" s="133"/>
      <c r="F45" s="133"/>
    </row>
    <row r="46" spans="1:6" ht="42" customHeight="1">
      <c r="A46" s="128">
        <v>36</v>
      </c>
      <c r="B46" s="144" t="s">
        <v>149</v>
      </c>
      <c r="C46" s="123" t="s">
        <v>150</v>
      </c>
      <c r="D46" s="131" t="s">
        <v>81</v>
      </c>
      <c r="E46" s="133"/>
      <c r="F46" s="133"/>
    </row>
    <row r="47" spans="1:6" ht="42" customHeight="1">
      <c r="A47" s="128">
        <v>37</v>
      </c>
      <c r="B47" s="144" t="s">
        <v>151</v>
      </c>
      <c r="C47" s="134" t="s">
        <v>152</v>
      </c>
      <c r="D47" s="131" t="s">
        <v>86</v>
      </c>
      <c r="E47" s="133"/>
      <c r="F47" s="133"/>
    </row>
    <row r="48" spans="1:6" ht="42" customHeight="1">
      <c r="A48" s="128">
        <v>38</v>
      </c>
      <c r="B48" s="144" t="s">
        <v>151</v>
      </c>
      <c r="C48" s="123" t="s">
        <v>153</v>
      </c>
      <c r="D48" s="131" t="s">
        <v>81</v>
      </c>
      <c r="E48" s="133"/>
      <c r="F48" s="133"/>
    </row>
    <row r="49" spans="1:6" ht="42" customHeight="1">
      <c r="A49" s="128">
        <v>39</v>
      </c>
      <c r="B49" s="144" t="s">
        <v>154</v>
      </c>
      <c r="C49" s="123" t="s">
        <v>155</v>
      </c>
      <c r="D49" s="131" t="s">
        <v>86</v>
      </c>
      <c r="E49" s="133"/>
      <c r="F49" s="133"/>
    </row>
    <row r="50" spans="1:6" ht="42" customHeight="1">
      <c r="A50" s="128">
        <v>40</v>
      </c>
      <c r="B50" s="144" t="s">
        <v>156</v>
      </c>
      <c r="C50" s="123" t="s">
        <v>157</v>
      </c>
      <c r="D50" s="131" t="s">
        <v>86</v>
      </c>
      <c r="E50" s="133"/>
      <c r="F50" s="133"/>
    </row>
    <row r="51" spans="1:6" ht="42" customHeight="1">
      <c r="A51" s="128">
        <v>41</v>
      </c>
      <c r="B51" s="144" t="s">
        <v>158</v>
      </c>
      <c r="C51" s="130" t="s">
        <v>159</v>
      </c>
      <c r="D51" s="131" t="s">
        <v>81</v>
      </c>
      <c r="E51" s="133"/>
      <c r="F51" s="133"/>
    </row>
    <row r="52" spans="1:6" ht="42" customHeight="1">
      <c r="A52" s="128">
        <v>42</v>
      </c>
      <c r="B52" s="144" t="s">
        <v>160</v>
      </c>
      <c r="C52" s="123" t="s">
        <v>161</v>
      </c>
      <c r="D52" s="131" t="s">
        <v>86</v>
      </c>
      <c r="E52" s="133"/>
      <c r="F52" s="133"/>
    </row>
    <row r="53" spans="1:6" ht="42" customHeight="1">
      <c r="A53" s="128">
        <v>43</v>
      </c>
      <c r="B53" s="144" t="s">
        <v>162</v>
      </c>
      <c r="C53" s="123" t="s">
        <v>163</v>
      </c>
      <c r="D53" s="131" t="s">
        <v>81</v>
      </c>
      <c r="E53" s="133"/>
      <c r="F53" s="133"/>
    </row>
    <row r="54" spans="1:6" ht="42" customHeight="1">
      <c r="A54" s="128">
        <v>44</v>
      </c>
      <c r="B54" s="144" t="s">
        <v>164</v>
      </c>
      <c r="C54" s="123" t="s">
        <v>165</v>
      </c>
      <c r="D54" s="131" t="s">
        <v>81</v>
      </c>
      <c r="E54" s="133"/>
      <c r="F54" s="133"/>
    </row>
    <row r="55" spans="1:6" ht="42" customHeight="1">
      <c r="A55" s="128">
        <v>45</v>
      </c>
      <c r="B55" s="144" t="s">
        <v>166</v>
      </c>
      <c r="C55" s="130" t="s">
        <v>167</v>
      </c>
      <c r="D55" s="131" t="s">
        <v>81</v>
      </c>
      <c r="E55" s="133"/>
      <c r="F55" s="133"/>
    </row>
    <row r="56" spans="1:6" ht="42" customHeight="1">
      <c r="A56" s="128">
        <v>46</v>
      </c>
      <c r="B56" s="144" t="s">
        <v>168</v>
      </c>
      <c r="C56" s="130" t="s">
        <v>169</v>
      </c>
      <c r="D56" s="131" t="s">
        <v>81</v>
      </c>
      <c r="E56" s="133"/>
      <c r="F56" s="133"/>
    </row>
    <row r="57" spans="1:6" ht="42" customHeight="1">
      <c r="A57" s="128">
        <v>47</v>
      </c>
      <c r="B57" s="144" t="s">
        <v>170</v>
      </c>
      <c r="C57" s="123" t="s">
        <v>171</v>
      </c>
      <c r="D57" s="131" t="s">
        <v>81</v>
      </c>
      <c r="E57" s="133"/>
      <c r="F57" s="133"/>
    </row>
    <row r="58" spans="1:6" ht="42" customHeight="1">
      <c r="A58" s="128">
        <v>48</v>
      </c>
      <c r="B58" s="144" t="s">
        <v>172</v>
      </c>
      <c r="C58" s="130" t="s">
        <v>173</v>
      </c>
      <c r="D58" s="131" t="s">
        <v>81</v>
      </c>
      <c r="E58" s="133"/>
      <c r="F58" s="133"/>
    </row>
    <row r="59" spans="1:6" ht="42" customHeight="1">
      <c r="A59" s="128">
        <v>49</v>
      </c>
      <c r="B59" s="144" t="s">
        <v>174</v>
      </c>
      <c r="C59" s="123" t="s">
        <v>175</v>
      </c>
      <c r="D59" s="131" t="s">
        <v>81</v>
      </c>
      <c r="E59" s="133"/>
      <c r="F59" s="133"/>
    </row>
    <row r="60" spans="1:6" ht="42" customHeight="1">
      <c r="A60" s="128">
        <v>50</v>
      </c>
      <c r="B60" s="144" t="s">
        <v>176</v>
      </c>
      <c r="C60" s="130" t="s">
        <v>177</v>
      </c>
      <c r="D60" s="131" t="s">
        <v>81</v>
      </c>
      <c r="E60" s="133"/>
      <c r="F60" s="133"/>
    </row>
    <row r="61" spans="1:6" ht="42" customHeight="1">
      <c r="A61" s="128">
        <v>51</v>
      </c>
      <c r="B61" s="144" t="s">
        <v>178</v>
      </c>
      <c r="C61" s="123"/>
      <c r="D61" s="131" t="s">
        <v>86</v>
      </c>
      <c r="E61" s="133">
        <v>84</v>
      </c>
      <c r="F61" s="133"/>
    </row>
    <row r="62" spans="1:6" ht="42" customHeight="1">
      <c r="A62" s="128">
        <v>52</v>
      </c>
      <c r="B62" s="144" t="s">
        <v>179</v>
      </c>
      <c r="C62" s="123"/>
      <c r="D62" s="131" t="s">
        <v>81</v>
      </c>
      <c r="E62" s="133"/>
      <c r="F62" s="133"/>
    </row>
    <row r="63" spans="1:6" ht="42" customHeight="1">
      <c r="A63" s="116"/>
      <c r="B63" s="122" t="s">
        <v>180</v>
      </c>
      <c r="C63" s="123"/>
      <c r="D63" s="145"/>
      <c r="E63" s="146">
        <f>+E12+E14+E15+E16+E21+E23+E29+E32+E36+E37+E39+E42+E43+E47+E49+E50+E52+E61</f>
        <v>21865</v>
      </c>
      <c r="F63" s="146"/>
    </row>
    <row r="64" spans="1:6" ht="42" customHeight="1">
      <c r="A64" s="116"/>
      <c r="B64" s="147" t="s">
        <v>181</v>
      </c>
      <c r="C64" s="148"/>
      <c r="D64" s="149"/>
      <c r="E64" s="146">
        <f>+E10+E13+E17+E18+E19+E20+E22+E24+E26+E27+E28+E30+E31+E33+E34+E35+E38+E40+E41+E44+E46+E48+E51+E53+E54+E55+E56+E57+E58+E59+E60+E62</f>
        <v>21925</v>
      </c>
      <c r="F64" s="146"/>
    </row>
    <row r="65" spans="1:7" ht="42" customHeight="1">
      <c r="A65" s="116"/>
      <c r="B65" s="149" t="s">
        <v>182</v>
      </c>
      <c r="C65" s="123" t="s">
        <v>183</v>
      </c>
      <c r="D65" s="145"/>
      <c r="E65" s="146">
        <f>SUM(E8+E63-E64)</f>
        <v>20255</v>
      </c>
      <c r="F65" s="146"/>
    </row>
    <row r="66" spans="1:7" ht="53.25" customHeight="1">
      <c r="A66" s="116"/>
      <c r="B66" s="149" t="s">
        <v>184</v>
      </c>
      <c r="C66" s="150" t="s">
        <v>185</v>
      </c>
      <c r="D66" s="145"/>
      <c r="E66" s="146">
        <v>0</v>
      </c>
      <c r="F66" s="146"/>
    </row>
    <row r="67" spans="1:7" ht="42" customHeight="1">
      <c r="A67" s="116"/>
      <c r="B67" s="144" t="s">
        <v>186</v>
      </c>
      <c r="C67" s="148"/>
      <c r="D67" s="145"/>
      <c r="E67" s="133">
        <f>+E66</f>
        <v>0</v>
      </c>
      <c r="F67" s="146"/>
    </row>
    <row r="68" spans="1:7" ht="42" customHeight="1">
      <c r="A68" s="116"/>
      <c r="B68" s="151" t="s">
        <v>187</v>
      </c>
      <c r="C68" s="148"/>
      <c r="D68" s="145"/>
      <c r="E68" s="146">
        <f>IF((E66-E67)&gt;0,E66-E67,0)</f>
        <v>0</v>
      </c>
      <c r="F68" s="146"/>
    </row>
    <row r="69" spans="1:7" ht="42" customHeight="1">
      <c r="A69" s="116"/>
      <c r="B69" s="149" t="s">
        <v>188</v>
      </c>
      <c r="C69" s="148"/>
      <c r="D69" s="145"/>
      <c r="E69" s="146">
        <f>ROUND(E67*0.1,0)+ROUND(E68*0.19,0)</f>
        <v>0</v>
      </c>
      <c r="F69" s="146"/>
    </row>
    <row r="70" spans="1:7" ht="42" customHeight="1">
      <c r="A70" s="116"/>
      <c r="B70" s="149" t="s">
        <v>189</v>
      </c>
      <c r="C70" s="123" t="s">
        <v>190</v>
      </c>
      <c r="D70" s="145"/>
      <c r="E70" s="146">
        <f>+E65</f>
        <v>20255</v>
      </c>
      <c r="F70" s="146"/>
    </row>
    <row r="71" spans="1:7" ht="42" customHeight="1">
      <c r="A71" s="116"/>
      <c r="B71" s="151" t="s">
        <v>191</v>
      </c>
      <c r="C71" s="148"/>
      <c r="D71" s="145"/>
      <c r="E71" s="146">
        <f>IF(E70&lt;250001,IF(E70&lt;0,0,E70),250000)</f>
        <v>20255</v>
      </c>
      <c r="F71" s="146"/>
      <c r="G71">
        <f>+E71*0.5</f>
        <v>10127.5</v>
      </c>
    </row>
    <row r="72" spans="1:7" ht="42" customHeight="1">
      <c r="A72" s="116"/>
      <c r="B72" s="151" t="s">
        <v>187</v>
      </c>
      <c r="C72" s="148"/>
      <c r="D72" s="145"/>
      <c r="E72" s="146">
        <f>IF(E70&gt;250000,E70-250000,0)</f>
        <v>0</v>
      </c>
      <c r="F72" s="146"/>
    </row>
    <row r="73" spans="1:7" ht="42" customHeight="1">
      <c r="A73" s="116"/>
      <c r="B73" s="149" t="s">
        <v>192</v>
      </c>
      <c r="C73" s="148"/>
      <c r="D73" s="145"/>
      <c r="E73" s="146">
        <f>+E71*0.09</f>
        <v>1822.95</v>
      </c>
      <c r="F73" s="146"/>
    </row>
    <row r="74" spans="1:7" ht="42" customHeight="1">
      <c r="A74" s="116"/>
      <c r="B74" s="152" t="s">
        <v>193</v>
      </c>
      <c r="C74" s="153"/>
      <c r="D74" s="124"/>
      <c r="E74" s="146">
        <f>E69+E73</f>
        <v>1822.95</v>
      </c>
      <c r="F74" s="146"/>
    </row>
    <row r="75" spans="1:7" ht="42" customHeight="1">
      <c r="A75" s="116"/>
      <c r="B75" s="154" t="s">
        <v>194</v>
      </c>
      <c r="C75" s="123"/>
      <c r="D75" s="155" t="s">
        <v>195</v>
      </c>
      <c r="E75" s="125">
        <v>0</v>
      </c>
      <c r="F75" s="125"/>
    </row>
    <row r="76" spans="1:7" ht="42" customHeight="1">
      <c r="A76" s="116"/>
      <c r="B76" s="154" t="s">
        <v>196</v>
      </c>
      <c r="C76" s="123" t="s">
        <v>197</v>
      </c>
      <c r="D76" s="155" t="s">
        <v>195</v>
      </c>
      <c r="E76" s="125">
        <f>+E71*eredmény!L7*0.09</f>
        <v>1820.327401865917</v>
      </c>
      <c r="F76" s="125"/>
    </row>
    <row r="77" spans="1:7" ht="42" customHeight="1">
      <c r="A77" s="116"/>
      <c r="B77" s="149" t="s">
        <v>198</v>
      </c>
      <c r="C77" s="148"/>
      <c r="D77" s="145"/>
      <c r="E77" s="146">
        <f>IF(SUM(E74-E75-E76)&lt;0,0,SUM(E74-E75-E76))</f>
        <v>2.6225981340830913</v>
      </c>
      <c r="F77" s="146"/>
    </row>
    <row r="78" spans="1:7" ht="42" customHeight="1">
      <c r="A78" s="116"/>
      <c r="B78" s="149" t="s">
        <v>199</v>
      </c>
      <c r="C78" s="148"/>
      <c r="D78" s="145"/>
      <c r="E78" s="156">
        <f>E8-E77</f>
        <v>20312.377401865917</v>
      </c>
      <c r="F78" s="156"/>
    </row>
  </sheetData>
  <mergeCells count="7">
    <mergeCell ref="A8:B8"/>
    <mergeCell ref="A9:B9"/>
    <mergeCell ref="A2:F2"/>
    <mergeCell ref="A3:F3"/>
    <mergeCell ref="A4:F4"/>
    <mergeCell ref="C6:F6"/>
    <mergeCell ref="A7:B7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topLeftCell="A12" zoomScaleNormal="100" workbookViewId="0">
      <selection activeCell="F27" sqref="F27"/>
    </sheetView>
  </sheetViews>
  <sheetFormatPr baseColWidth="10" defaultColWidth="9" defaultRowHeight="13"/>
  <cols>
    <col min="2" max="2" width="55.6640625" customWidth="1"/>
    <col min="4" max="4" width="12.33203125" customWidth="1"/>
    <col min="6" max="6" width="14.5" customWidth="1"/>
  </cols>
  <sheetData>
    <row r="1" spans="1:6" ht="16">
      <c r="A1" s="157"/>
      <c r="B1" s="63"/>
      <c r="C1" s="63"/>
      <c r="D1" s="63"/>
      <c r="E1" s="158"/>
      <c r="F1" s="159"/>
    </row>
    <row r="2" spans="1:6" ht="21" customHeight="1">
      <c r="A2" s="192" t="s">
        <v>200</v>
      </c>
      <c r="B2" s="192"/>
      <c r="C2" s="192"/>
      <c r="D2" s="192"/>
      <c r="E2" s="192"/>
      <c r="F2" s="192"/>
    </row>
    <row r="3" spans="1:6" ht="15.75" customHeight="1">
      <c r="A3" s="193" t="s">
        <v>201</v>
      </c>
      <c r="B3" s="193"/>
      <c r="C3" s="193"/>
      <c r="D3" s="193"/>
      <c r="E3" s="193"/>
      <c r="F3" s="193"/>
    </row>
    <row r="4" spans="1:6" ht="16">
      <c r="A4" s="157"/>
      <c r="B4" s="63"/>
      <c r="C4" s="63"/>
      <c r="D4" s="63"/>
      <c r="E4" s="158"/>
      <c r="F4" s="159"/>
    </row>
    <row r="5" spans="1:6" ht="16">
      <c r="A5" s="157"/>
      <c r="B5" s="157"/>
      <c r="C5" s="157"/>
      <c r="D5" s="157"/>
      <c r="E5" s="160"/>
      <c r="F5" s="65" t="s">
        <v>202</v>
      </c>
    </row>
    <row r="6" spans="1:6" ht="31.5" customHeight="1">
      <c r="A6" s="194" t="s">
        <v>74</v>
      </c>
      <c r="B6" s="194"/>
      <c r="C6" s="194"/>
      <c r="D6" s="161" t="s">
        <v>35</v>
      </c>
      <c r="E6" s="161"/>
      <c r="F6" s="162" t="s">
        <v>203</v>
      </c>
    </row>
    <row r="7" spans="1:6" ht="35" customHeight="1">
      <c r="A7" s="195" t="s">
        <v>204</v>
      </c>
      <c r="B7" s="196" t="s">
        <v>205</v>
      </c>
      <c r="C7" s="196"/>
      <c r="D7" s="161" t="s">
        <v>206</v>
      </c>
      <c r="E7" s="164"/>
      <c r="F7" s="165">
        <f>+eredmény!K4</f>
        <v>106762</v>
      </c>
    </row>
    <row r="8" spans="1:6" ht="35" customHeight="1">
      <c r="A8" s="195"/>
      <c r="B8" s="196" t="s">
        <v>207</v>
      </c>
      <c r="C8" s="196"/>
      <c r="D8" s="161" t="s">
        <v>208</v>
      </c>
      <c r="E8" s="164"/>
      <c r="F8" s="165">
        <f>+eredmény!K6</f>
        <v>146947</v>
      </c>
    </row>
    <row r="9" spans="1:6" ht="35" customHeight="1">
      <c r="A9" s="195"/>
      <c r="B9" s="196" t="s">
        <v>24</v>
      </c>
      <c r="C9" s="196"/>
      <c r="D9" s="161" t="s">
        <v>209</v>
      </c>
      <c r="E9" s="164"/>
      <c r="F9" s="165">
        <f>+eredmény!K26</f>
        <v>0</v>
      </c>
    </row>
    <row r="10" spans="1:6" ht="35" customHeight="1">
      <c r="A10" s="195"/>
      <c r="B10" s="196" t="s">
        <v>210</v>
      </c>
      <c r="C10" s="196"/>
      <c r="D10" s="161" t="s">
        <v>211</v>
      </c>
      <c r="E10" s="164"/>
      <c r="F10" s="165">
        <f>+eredmény!K32</f>
        <v>0</v>
      </c>
    </row>
    <row r="11" spans="1:6" ht="35" customHeight="1">
      <c r="A11" s="195"/>
      <c r="B11" s="197" t="s">
        <v>212</v>
      </c>
      <c r="C11" s="197"/>
      <c r="D11" s="161" t="s">
        <v>213</v>
      </c>
      <c r="E11" s="164"/>
      <c r="F11" s="166">
        <f>SUM(F7:F10)</f>
        <v>253709</v>
      </c>
    </row>
    <row r="12" spans="1:6" ht="35" customHeight="1">
      <c r="A12" s="157"/>
      <c r="B12" s="167"/>
      <c r="C12" s="167"/>
      <c r="D12" s="167"/>
      <c r="E12" s="160"/>
      <c r="F12" s="168"/>
    </row>
    <row r="13" spans="1:6" ht="35" customHeight="1">
      <c r="A13" s="195" t="s">
        <v>214</v>
      </c>
      <c r="B13" s="196" t="s">
        <v>215</v>
      </c>
      <c r="C13" s="196"/>
      <c r="D13" s="161" t="s">
        <v>216</v>
      </c>
      <c r="E13" s="164" t="s">
        <v>86</v>
      </c>
      <c r="F13" s="165"/>
    </row>
    <row r="14" spans="1:6" ht="35" customHeight="1">
      <c r="A14" s="195"/>
      <c r="B14" s="196" t="s">
        <v>217</v>
      </c>
      <c r="C14" s="196"/>
      <c r="D14" s="161" t="s">
        <v>218</v>
      </c>
      <c r="E14" s="164" t="s">
        <v>86</v>
      </c>
      <c r="F14" s="165"/>
    </row>
    <row r="15" spans="1:6" ht="35" customHeight="1">
      <c r="A15" s="195"/>
      <c r="B15" s="197" t="s">
        <v>219</v>
      </c>
      <c r="C15" s="197"/>
      <c r="D15" s="161"/>
      <c r="E15" s="164" t="s">
        <v>86</v>
      </c>
      <c r="F15" s="166">
        <f>+F13+F14</f>
        <v>0</v>
      </c>
    </row>
    <row r="16" spans="1:6" ht="35" customHeight="1">
      <c r="A16" s="157"/>
      <c r="B16" s="167"/>
      <c r="C16" s="167"/>
      <c r="D16" s="169"/>
      <c r="E16" s="160"/>
      <c r="F16" s="168"/>
    </row>
    <row r="17" spans="1:6" ht="35" customHeight="1">
      <c r="A17" s="195" t="s">
        <v>220</v>
      </c>
      <c r="B17" s="196" t="s">
        <v>221</v>
      </c>
      <c r="C17" s="196"/>
      <c r="D17" s="161" t="s">
        <v>222</v>
      </c>
      <c r="E17" s="164" t="s">
        <v>81</v>
      </c>
      <c r="F17" s="170">
        <v>0</v>
      </c>
    </row>
    <row r="18" spans="1:6" ht="35" customHeight="1">
      <c r="A18" s="195"/>
      <c r="B18" s="196" t="s">
        <v>223</v>
      </c>
      <c r="C18" s="196"/>
      <c r="D18" s="161" t="s">
        <v>222</v>
      </c>
      <c r="E18" s="164" t="s">
        <v>81</v>
      </c>
      <c r="F18" s="170">
        <f>[3]Hivatkozasok!B9</f>
        <v>0</v>
      </c>
    </row>
    <row r="19" spans="1:6" ht="35" customHeight="1">
      <c r="A19" s="195"/>
      <c r="B19" s="196" t="s">
        <v>224</v>
      </c>
      <c r="C19" s="196"/>
      <c r="D19" s="161" t="s">
        <v>225</v>
      </c>
      <c r="E19" s="164" t="s">
        <v>81</v>
      </c>
      <c r="F19" s="170"/>
    </row>
    <row r="20" spans="1:6" ht="35" customHeight="1">
      <c r="A20" s="195"/>
      <c r="B20" s="196" t="s">
        <v>226</v>
      </c>
      <c r="C20" s="196"/>
      <c r="D20" s="161" t="s">
        <v>227</v>
      </c>
      <c r="E20" s="164" t="s">
        <v>81</v>
      </c>
      <c r="F20" s="170"/>
    </row>
    <row r="21" spans="1:6" ht="35" customHeight="1">
      <c r="A21" s="195"/>
      <c r="B21" s="196" t="s">
        <v>228</v>
      </c>
      <c r="C21" s="196"/>
      <c r="D21" s="161" t="s">
        <v>229</v>
      </c>
      <c r="E21" s="164" t="s">
        <v>81</v>
      </c>
      <c r="F21" s="170"/>
    </row>
    <row r="22" spans="1:6" ht="35" customHeight="1">
      <c r="A22" s="195"/>
      <c r="B22" s="197" t="s">
        <v>230</v>
      </c>
      <c r="C22" s="197"/>
      <c r="D22" s="161"/>
      <c r="E22" s="164" t="s">
        <v>81</v>
      </c>
      <c r="F22" s="166">
        <f>SUM(F17:F21)</f>
        <v>0</v>
      </c>
    </row>
    <row r="23" spans="1:6" ht="35" customHeight="1">
      <c r="A23" s="163"/>
      <c r="B23" s="197" t="s">
        <v>231</v>
      </c>
      <c r="C23" s="197"/>
      <c r="D23" s="161"/>
      <c r="E23" s="171"/>
      <c r="F23" s="166">
        <f>+IF(+F11+F15-F22&lt;=0,0,+F11+F15-F22)</f>
        <v>253709</v>
      </c>
    </row>
    <row r="24" spans="1:6" ht="35" customHeight="1">
      <c r="A24" s="163"/>
      <c r="B24" s="196" t="s">
        <v>76</v>
      </c>
      <c r="C24" s="196"/>
      <c r="D24" s="161" t="s">
        <v>232</v>
      </c>
      <c r="E24" s="164"/>
      <c r="F24" s="165">
        <f>+eredmény!K35</f>
        <v>20315</v>
      </c>
    </row>
    <row r="25" spans="1:6" ht="35" customHeight="1">
      <c r="A25" s="163"/>
      <c r="B25" s="196" t="s">
        <v>233</v>
      </c>
      <c r="C25" s="196"/>
      <c r="D25" s="161" t="s">
        <v>234</v>
      </c>
      <c r="E25" s="164"/>
      <c r="F25" s="165">
        <f>+ta!E65</f>
        <v>20255</v>
      </c>
    </row>
    <row r="26" spans="1:6" ht="35" customHeight="1">
      <c r="A26" s="163"/>
      <c r="B26" s="197" t="s">
        <v>235</v>
      </c>
      <c r="C26" s="197"/>
      <c r="D26" s="161" t="s">
        <v>236</v>
      </c>
      <c r="E26" s="164"/>
      <c r="F26" s="166">
        <f>+IF(F23&lt;0,0,+F23*2%)</f>
        <v>5074.18</v>
      </c>
    </row>
    <row r="27" spans="1:6" ht="35" customHeight="1">
      <c r="A27" s="163"/>
      <c r="B27" s="197" t="s">
        <v>237</v>
      </c>
      <c r="C27" s="197"/>
      <c r="D27" s="161"/>
      <c r="E27" s="164"/>
      <c r="F27" s="170">
        <f>+F26*0.09</f>
        <v>456.67619999999999</v>
      </c>
    </row>
    <row r="28" spans="1:6" ht="35" customHeight="1">
      <c r="A28" s="163"/>
      <c r="B28" s="197" t="s">
        <v>238</v>
      </c>
      <c r="C28" s="197"/>
      <c r="D28" s="161"/>
      <c r="E28" s="164"/>
      <c r="F28" s="166">
        <f>+IF(OR(F27&gt;F26,F27&lt;0,OR(F24&gt;F26,F25&gt;F26)),0,F26-F27)</f>
        <v>0</v>
      </c>
    </row>
    <row r="29" spans="1:6" ht="35" customHeight="1">
      <c r="A29" s="172"/>
      <c r="B29" s="173" t="s">
        <v>239</v>
      </c>
      <c r="C29" s="174" t="str">
        <f>IF(OR(F24&gt;F26,F25&gt;F26),"AZ ADÓT NEM JÖVEDELEM-(NYERESÉG) minimum alapján határozza meg !","")</f>
        <v>AZ ADÓT NEM JÖVEDELEM-(NYERESÉG) minimum alapján határozza meg !</v>
      </c>
      <c r="D29" s="175"/>
      <c r="E29" s="176"/>
      <c r="F29" s="177">
        <f>IF(OR(F24&gt;F26,F25&gt;F26,F27&lt;0,G27&lt;&gt;""),0,F27*10%+F28*16%)</f>
        <v>0</v>
      </c>
    </row>
  </sheetData>
  <mergeCells count="26">
    <mergeCell ref="B28:C28"/>
    <mergeCell ref="B23:C23"/>
    <mergeCell ref="B24:C24"/>
    <mergeCell ref="B25:C25"/>
    <mergeCell ref="B26:C26"/>
    <mergeCell ref="B27:C27"/>
    <mergeCell ref="A13:A15"/>
    <mergeCell ref="B13:C13"/>
    <mergeCell ref="B14:C14"/>
    <mergeCell ref="B15:C15"/>
    <mergeCell ref="A17:A22"/>
    <mergeCell ref="B17:C17"/>
    <mergeCell ref="B18:C18"/>
    <mergeCell ref="B19:C19"/>
    <mergeCell ref="B20:C20"/>
    <mergeCell ref="B21:C21"/>
    <mergeCell ref="B22:C22"/>
    <mergeCell ref="A2:F2"/>
    <mergeCell ref="A3:F3"/>
    <mergeCell ref="A6:C6"/>
    <mergeCell ref="A7:A11"/>
    <mergeCell ref="B7:C7"/>
    <mergeCell ref="B8:C8"/>
    <mergeCell ref="B9:C9"/>
    <mergeCell ref="B10:C10"/>
    <mergeCell ref="B11:C1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Normal="100" workbookViewId="0"/>
  </sheetViews>
  <sheetFormatPr baseColWidth="10" defaultColWidth="9" defaultRowHeight="1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eredmény</vt:lpstr>
      <vt:lpstr>iparűzési adó</vt:lpstr>
      <vt:lpstr>ta</vt:lpstr>
      <vt:lpstr>elvart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Monon Office</cp:lastModifiedBy>
  <cp:revision>0</cp:revision>
  <cp:lastPrinted>2022-05-06T10:02:31Z</cp:lastPrinted>
  <dcterms:created xsi:type="dcterms:W3CDTF">2000-12-07T15:24:22Z</dcterms:created>
  <dcterms:modified xsi:type="dcterms:W3CDTF">2026-09-15T12:22:33Z</dcterms:modified>
  <dc:language>hu-HU</dc:language>
</cp:coreProperties>
</file>