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0"/>
  <workbookPr defaultThemeVersion="124226"/>
  <mc:AlternateContent xmlns:mc="http://schemas.openxmlformats.org/markup-compatibility/2006">
    <mc:Choice Requires="x15">
      <x15ac:absPath xmlns:x15ac="http://schemas.microsoft.com/office/spreadsheetml/2010/11/ac" url="/Volumes/testulet/Eloterjesztesek/2026/TERVEZETEK/79) A Mogyoród Településüzemeltető Nonprofit Kft. 2025. évi beszámolójának elfogadása/"/>
    </mc:Choice>
  </mc:AlternateContent>
  <xr:revisionPtr revIDLastSave="0" documentId="13_ncr:1_{B8CB5587-6802-4344-8A22-59B14842F1D0}" xr6:coauthVersionLast="47" xr6:coauthVersionMax="47" xr10:uidLastSave="{00000000-0000-0000-0000-000000000000}"/>
  <bookViews>
    <workbookView xWindow="0" yWindow="660" windowWidth="29400" windowHeight="18460" xr2:uid="{48D0D136-7BC4-7D4A-B85A-A5D745D6137D}"/>
  </bookViews>
  <sheets>
    <sheet name="eredmény" sheetId="1" r:id="rId1"/>
    <sheet name="iparűzési adó" sheetId="4" r:id="rId2"/>
    <sheet name="ta" sheetId="2" r:id="rId3"/>
    <sheet name="elvart" sheetId="3" r:id="rId4"/>
    <sheet name="Munka1" sheetId="5" r:id="rId5"/>
  </sheets>
  <externalReferences>
    <externalReference r:id="rId6"/>
    <externalReference r:id="rId7"/>
    <externalReference r:id="rId8"/>
  </externalReferences>
  <definedNames>
    <definedName name="_xlnm.Print_Titles" localSheetId="3">elvart!$4:$6</definedName>
    <definedName name="_xlnm.Print_Titles" localSheetId="2">ta!$1:$7</definedName>
    <definedName name="_xlnm.Print_Area" localSheetId="0">eredmény!$A$1:$K$43</definedName>
    <definedName name="_xlnm.Print_Area" localSheetId="2">ta!$A$1:$F$78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" i="1" l="1"/>
  <c r="F13" i="1" s="1"/>
  <c r="G13" i="1" s="1"/>
  <c r="K13" i="1" s="1"/>
  <c r="E16" i="1"/>
  <c r="F16" i="1" s="1"/>
  <c r="E20" i="1"/>
  <c r="E18" i="1"/>
  <c r="E23" i="1" s="1"/>
  <c r="F14" i="1"/>
  <c r="E14" i="1"/>
  <c r="E11" i="1"/>
  <c r="F11" i="1" s="1"/>
  <c r="F6" i="1"/>
  <c r="G6" i="1" s="1"/>
  <c r="F4" i="1"/>
  <c r="G15" i="4"/>
  <c r="G16" i="4"/>
  <c r="G4" i="1"/>
  <c r="K4" i="1" s="1"/>
  <c r="F7" i="3" s="1"/>
  <c r="G12" i="1"/>
  <c r="K12" i="1" s="1"/>
  <c r="Q20" i="1"/>
  <c r="Q23" i="1"/>
  <c r="Q24" i="1" s="1"/>
  <c r="N16" i="1"/>
  <c r="N20" i="1"/>
  <c r="N23" i="1" s="1"/>
  <c r="S22" i="1"/>
  <c r="S16" i="1"/>
  <c r="O18" i="1"/>
  <c r="O23" i="1"/>
  <c r="N18" i="1"/>
  <c r="G8" i="1"/>
  <c r="K8" i="1"/>
  <c r="F39" i="1"/>
  <c r="E15" i="2"/>
  <c r="D34" i="4"/>
  <c r="G34" i="4"/>
  <c r="D35" i="4"/>
  <c r="G35" i="4"/>
  <c r="D36" i="4"/>
  <c r="G36" i="4" s="1"/>
  <c r="D37" i="4"/>
  <c r="G37" i="4" s="1"/>
  <c r="K37" i="1"/>
  <c r="F10" i="3"/>
  <c r="F15" i="3"/>
  <c r="F18" i="3"/>
  <c r="F22" i="3"/>
  <c r="J10" i="1"/>
  <c r="J23" i="1"/>
  <c r="J29" i="1" s="1"/>
  <c r="J35" i="1" s="1"/>
  <c r="J41" i="1" s="1"/>
  <c r="A1" i="4"/>
  <c r="E1" i="4"/>
  <c r="G21" i="4"/>
  <c r="G27" i="4"/>
  <c r="B38" i="4"/>
  <c r="I31" i="1"/>
  <c r="J39" i="1"/>
  <c r="E67" i="2"/>
  <c r="G33" i="1"/>
  <c r="K33" i="1"/>
  <c r="I10" i="1"/>
  <c r="I23" i="1"/>
  <c r="I29" i="1"/>
  <c r="I35" i="1" s="1"/>
  <c r="I41" i="1" s="1"/>
  <c r="H10" i="1"/>
  <c r="H23" i="1"/>
  <c r="H29" i="1"/>
  <c r="H35" i="1"/>
  <c r="H41" i="1"/>
  <c r="K26" i="1"/>
  <c r="F9" i="3" s="1"/>
  <c r="E64" i="2"/>
  <c r="G6" i="4"/>
  <c r="G11" i="4"/>
  <c r="G17" i="4" s="1"/>
  <c r="G28" i="4" s="1"/>
  <c r="D33" i="4" s="1"/>
  <c r="G33" i="4" s="1"/>
  <c r="I27" i="1"/>
  <c r="I25" i="1"/>
  <c r="F25" i="1"/>
  <c r="K27" i="1"/>
  <c r="E68" i="2"/>
  <c r="E69" i="2"/>
  <c r="G14" i="1"/>
  <c r="K14" i="1"/>
  <c r="E10" i="1"/>
  <c r="F10" i="1" l="1"/>
  <c r="G10" i="1" s="1"/>
  <c r="K10" i="1" s="1"/>
  <c r="G11" i="1"/>
  <c r="K11" i="1" s="1"/>
  <c r="G38" i="4"/>
  <c r="G40" i="4" s="1"/>
  <c r="G23" i="1"/>
  <c r="K23" i="1" s="1"/>
  <c r="G20" i="1"/>
  <c r="K20" i="1" s="1"/>
  <c r="U16" i="1"/>
  <c r="G16" i="1"/>
  <c r="K16" i="1" s="1"/>
  <c r="E26" i="1"/>
  <c r="E27" i="1"/>
  <c r="K6" i="1"/>
  <c r="F8" i="3" s="1"/>
  <c r="E32" i="1"/>
  <c r="E31" i="1" s="1"/>
  <c r="F32" i="1"/>
  <c r="F31" i="1" s="1"/>
  <c r="F11" i="3"/>
  <c r="F23" i="3" s="1"/>
  <c r="F26" i="3" s="1"/>
  <c r="F27" i="3" s="1"/>
  <c r="L7" i="1"/>
  <c r="L8" i="1" s="1"/>
  <c r="F18" i="1"/>
  <c r="F20" i="1"/>
  <c r="G18" i="1"/>
  <c r="K18" i="1" s="1"/>
  <c r="E14" i="2" s="1"/>
  <c r="E63" i="2" s="1"/>
  <c r="F23" i="1"/>
  <c r="F29" i="1" s="1"/>
  <c r="G31" i="1" l="1"/>
  <c r="K31" i="1" s="1"/>
  <c r="F35" i="1"/>
  <c r="F41" i="1" s="1"/>
  <c r="E25" i="1"/>
  <c r="G25" i="1" l="1"/>
  <c r="K25" i="1" s="1"/>
  <c r="E29" i="1"/>
  <c r="E35" i="1" l="1"/>
  <c r="G29" i="1"/>
  <c r="K29" i="1" s="1"/>
  <c r="K35" i="1" s="1"/>
  <c r="F24" i="3" l="1"/>
  <c r="G35" i="1"/>
  <c r="E8" i="2" s="1"/>
  <c r="E65" i="2" l="1"/>
  <c r="E70" i="2" l="1"/>
  <c r="F25" i="3"/>
  <c r="C29" i="3" l="1"/>
  <c r="F29" i="3"/>
  <c r="F28" i="3"/>
  <c r="E72" i="2"/>
  <c r="E71" i="2"/>
  <c r="E76" i="2" l="1"/>
  <c r="E73" i="2"/>
  <c r="E74" i="2" s="1"/>
  <c r="G71" i="2"/>
  <c r="E77" i="2" l="1"/>
  <c r="K39" i="1" l="1"/>
  <c r="K41" i="1" s="1"/>
  <c r="E39" i="1"/>
  <c r="E78" i="2"/>
  <c r="G39" i="1" l="1"/>
  <c r="E41" i="1"/>
  <c r="G41" i="1" s="1"/>
</calcChain>
</file>

<file path=xl/sharedStrings.xml><?xml version="1.0" encoding="utf-8"?>
<sst xmlns="http://schemas.openxmlformats.org/spreadsheetml/2006/main" count="356" uniqueCount="243">
  <si>
    <t>Nettó árbevétel</t>
  </si>
  <si>
    <t>Egyéb bevétel</t>
  </si>
  <si>
    <t>Aktivált saját t. értéke</t>
  </si>
  <si>
    <t>Anyagjellegű ráfordítások</t>
  </si>
  <si>
    <t>Személyi jell. Ráfordítások</t>
  </si>
  <si>
    <t>Értékcsökkenési leírás</t>
  </si>
  <si>
    <t>Egyéb ráfordítások</t>
  </si>
  <si>
    <t>Üzemi eredmény</t>
  </si>
  <si>
    <t>Pénzügyi eredmény</t>
  </si>
  <si>
    <t>Adózás előtti eredmény</t>
  </si>
  <si>
    <t>Adófizetési kötelezettség</t>
  </si>
  <si>
    <t>Adózott eredmény</t>
  </si>
  <si>
    <t>Korr. Adófizetési kötelezettség</t>
  </si>
  <si>
    <t>Anyagköltség</t>
  </si>
  <si>
    <t xml:space="preserve"> </t>
  </si>
  <si>
    <t>EFT-BAN</t>
  </si>
  <si>
    <t>(ELVÁRT ADÓ)</t>
  </si>
  <si>
    <t>M13-06</t>
  </si>
  <si>
    <t xml:space="preserve">IPARŰZÉSI ADÓ ELLENŐRZÉSE
1990. évi C. tv.
</t>
  </si>
  <si>
    <t>MEGNEVEZÉS</t>
  </si>
  <si>
    <t>§</t>
  </si>
  <si>
    <t xml:space="preserve">ÖSSZEG (Ft)                     </t>
  </si>
  <si>
    <t>ÉRTÉKESÍTÉS NETTÓ ÁRBEVÉTELE (***)</t>
  </si>
  <si>
    <r>
      <t xml:space="preserve">Számviteli törvény szerinti nettó árbevétel, 
</t>
    </r>
    <r>
      <rPr>
        <b/>
        <u/>
        <sz val="12"/>
        <color indexed="8"/>
        <rFont val="Garamond"/>
        <family val="1"/>
        <charset val="238"/>
      </rPr>
      <t>CSÖKKENTVE:</t>
    </r>
  </si>
  <si>
    <t>39. § (1), 
52. § 22.a)</t>
  </si>
  <si>
    <t>A társasági adóról, és osztalékadóról szóló törvény szerinti jogdíjból származó, árbevételként elszámolt ellenértékkel</t>
  </si>
  <si>
    <t>Egyéb szolgáltatások értékeként, ill. egyéb ráfordítások között kimutatott, adóhatósággal elszámolt jövedéki adó összeggel</t>
  </si>
  <si>
    <t>Egyéb ráfordítások között kimutatott, az adóhatósággal elszámolt regisztrációs adó, energia adó összeggel</t>
  </si>
  <si>
    <t>Felszolgálási díj árbevételével (külön jogszabály szerint)</t>
  </si>
  <si>
    <t>ÖSSZESEN:</t>
  </si>
  <si>
    <t>ADÓALAPOT CSÖKKENTŐ TÉTELEK</t>
  </si>
  <si>
    <t xml:space="preserve">Eladott áruk beszerzési értéke </t>
  </si>
  <si>
    <t>39. § (1), 
52. § 36.</t>
  </si>
  <si>
    <t xml:space="preserve">Közvetített szolgáltatások értéke </t>
  </si>
  <si>
    <t>39. § (1), 
52. § 40.</t>
  </si>
  <si>
    <t>39. § (1), 
52. § 37., 38.</t>
  </si>
  <si>
    <t>VÁLLALKOZÁSI SZINTŰ IPARŰZÉSI ADÓ ALAPJA:</t>
  </si>
  <si>
    <t>ADÓALAP MENTESSÉG</t>
  </si>
  <si>
    <t>A foglalkoztatás növeléséhez kapcsolódó adóalap-menteség összege</t>
  </si>
  <si>
    <t>39/D. § (1)-(6)</t>
  </si>
  <si>
    <t>Külföldön létesített telephelyen végzett tevékenységre jutó adóalap-mentesség</t>
  </si>
  <si>
    <t>39. § (1)</t>
  </si>
  <si>
    <t>ADÓALAP KEDVEZMÉNY</t>
  </si>
  <si>
    <t>39/C. § (1)-(3)</t>
  </si>
  <si>
    <t>IPARŰZÉSI ADÓ ALAPJA:</t>
  </si>
  <si>
    <t>Telephelyek megnevezése 
(52. § 31.)</t>
  </si>
  <si>
    <t>Adóalap felosztási %-a *
(Függelék)</t>
  </si>
  <si>
    <t>Adó mértéke (%)**</t>
  </si>
  <si>
    <t>Helyi iparűzési adó összege             Ft</t>
  </si>
  <si>
    <t>ADÓ-KEDVEZMÉNY</t>
  </si>
  <si>
    <t xml:space="preserve">Fizetendő adó </t>
  </si>
  <si>
    <t>IPARŰZÉSI ADÓ ÖSSZESEN:</t>
  </si>
  <si>
    <t>Könyvelt</t>
  </si>
  <si>
    <t>Eltérés</t>
  </si>
  <si>
    <t>anyagköltség</t>
  </si>
  <si>
    <t>eladott áruk /szolg.beszerzési értéke</t>
  </si>
  <si>
    <t>igénybe vett szolgáltatás</t>
  </si>
  <si>
    <t>egyéb a. költség</t>
  </si>
  <si>
    <t xml:space="preserve">M13-03  TÁRSASÁGI ADÓ </t>
  </si>
  <si>
    <t>1996. évi LXXXI. tv.  (2010.08.16-i állapot szerint)</t>
  </si>
  <si>
    <t>Adatok ezer Ft-ra kerekítve</t>
  </si>
  <si>
    <t xml:space="preserve">Megnevezés </t>
  </si>
  <si>
    <t>Eredmény-
kimutatás</t>
  </si>
  <si>
    <t xml:space="preserve">Adózás előtti eredmény </t>
  </si>
  <si>
    <t xml:space="preserve">E </t>
  </si>
  <si>
    <t>Adóalap módosító tételek</t>
  </si>
  <si>
    <t xml:space="preserve">Korábbi évek elhatárolt veszteségéből felhasználás </t>
  </si>
  <si>
    <t>[7.§ (1) a); 16.§ (5); 17.§; 29.§ (2); 29/C.§ (8); 29/F.§ (2)]</t>
  </si>
  <si>
    <t>-</t>
  </si>
  <si>
    <t>(A tárgyévi felhasználás után még továbbvihető veszteség)</t>
  </si>
  <si>
    <t>[17. §]</t>
  </si>
  <si>
    <t xml:space="preserve">Várható kötelezettségekre, a jövőbeni költségekre képzett adóévben ráfordításként elszámolt céltartalék </t>
  </si>
  <si>
    <t>[8.§ (1) a)]</t>
  </si>
  <si>
    <t>+</t>
  </si>
  <si>
    <t>Várható kötelezettségekre, költségekre képzett céltartalék felhasználása miatt adóévben bevételként elszámolt összeg</t>
  </si>
  <si>
    <t>[7.§ (1) b)]</t>
  </si>
  <si>
    <t>Számviteli törvény szerinti terv szerinti értékcsökkenés</t>
  </si>
  <si>
    <t>[8.§ (1) b)]</t>
  </si>
  <si>
    <t>Számviteli törvény szerinti terven felüli értékcsökkenés</t>
  </si>
  <si>
    <t xml:space="preserve">Számviteli törvény szerinti tárgyi eszköz állományból kivezetett, átsorolt eszköz 
könyv szerinti értéke </t>
  </si>
  <si>
    <t xml:space="preserve">Társasági adó törvény szerinti adóévre elszámolható értékcsökkenés </t>
  </si>
  <si>
    <t>[7.§ (1) d); 1. és 2.számú melléklet]</t>
  </si>
  <si>
    <t xml:space="preserve">Társasági adó törvény szerint tárgyi eszköz állományból kivezetett, átsorolt eszköz számított nyilvántartási értéke </t>
  </si>
  <si>
    <t>Társasági adó törvény szerinti terven felüli értékcsökkenés visszaírása az adóévben figyelemmel a törvényben meghatározott kivételekre</t>
  </si>
  <si>
    <t>[7.§ (1) cs)]</t>
  </si>
  <si>
    <t>Fejlesztési tartalék adóévben képzett összege, maximum az adózás előtti eredmény 50 százaléka, és legfeljebb 500 millió forint</t>
  </si>
  <si>
    <t>[7.§ (1) f); 7.§ (15); 16.§ (1) a); 29./I. § (5)]</t>
  </si>
  <si>
    <t>Ráfordításként elszámolt jogerős bírság, Art. és Tb-törvények szerinti jogkövetkezmények az önellenőrzési pótlék kivételével</t>
  </si>
  <si>
    <t>[8.§ (1) e)]</t>
  </si>
  <si>
    <t>Elengedett – az adóévben vagy az előző években adóalapot növelő tételként beállított, bevételként elszámolt Art. és Tb-törvényekben előírt jogkövetkezmények</t>
  </si>
  <si>
    <t>[7.§ (1) r)]</t>
  </si>
  <si>
    <t xml:space="preserve">Adóévben követelésre elszámolt értékvesztés </t>
  </si>
  <si>
    <t>[8.§ (1) gy)]</t>
  </si>
  <si>
    <t>Követelésre adóévben visszaírt értékvesztés, valamint a tulajdoni részesedésre visszaírt értékvesztés, ha azt az adózó korábban adózás előtti eredményt növelő tételként vette számításba, amelyet az erre vonatkozó adóbevallással és az azt alátámasztó kimutatásokkal igazol.</t>
  </si>
  <si>
    <t>[7.§ (1) n), q); 16.§ (2) i)]</t>
  </si>
  <si>
    <t>Behajthatatlan követelésnek nem minősülő adóévben elengedett követelés</t>
  </si>
  <si>
    <t>[8.§ (1) h)]</t>
  </si>
  <si>
    <t>A követelés behajthatatlanná válásakor a behajthatatlan rész, legfeljebb a  korábban növelő tételként elszámolt és még le nem vont értékvesztés</t>
  </si>
  <si>
    <t>[7.§ (1) n); 16.§ (2) i)]</t>
  </si>
  <si>
    <t>A követelés átruházásakor, kiegyenlítésekor, beszámításakor elszámolandó összeg, de legfeljebb a nyilvántartott értékvesztés</t>
  </si>
  <si>
    <t>Adomány, támogatás meghatározott összege</t>
  </si>
  <si>
    <t>[7.§ (1) z); (7); 29/C.§ (7)]</t>
  </si>
  <si>
    <t>Adóellenőrzés, önellenőrzés során megállapított adóévi költségként, ráfordításként vagy nettó árbevétel és bevétel, aktivált saját teljesítmény csökkentéseként elszámolt összeg</t>
  </si>
  <si>
    <t>[8.§ (1) p)]</t>
  </si>
  <si>
    <t>Adóellenőrzés, önellenőrzés során megállapított nettó árbevételként, bevételként vagy aktivált saját teljesítmény növeléseként, költség, ráfordítás csökkenéseként elszámolt összeg</t>
  </si>
  <si>
    <t>[7.§ (1) u)]</t>
  </si>
  <si>
    <t>Kapott (járó) osztalék, részesedés (a törvényben meghatározott kivételekkel)</t>
  </si>
  <si>
    <t xml:space="preserve">[7.§ (1) g), gy);  4.§ 11.] </t>
  </si>
  <si>
    <t>Ellenőrzött külföldi társaságban fennálló részesedésre jutó fel nem osztott nyereség</t>
  </si>
  <si>
    <t>[8.§ (1) f)]</t>
  </si>
  <si>
    <t>Szakképző iskolai tanuló kedvezménye</t>
  </si>
  <si>
    <t>[7.§ (1) i)]</t>
  </si>
  <si>
    <t>Megváltozott munkaképességűek foglalkoztatási kedvezménye</t>
  </si>
  <si>
    <t>[7.§ (1) v)]</t>
  </si>
  <si>
    <t xml:space="preserve">Kis- és középvállalkozások által igénybe vett beruházási kedvezmény </t>
  </si>
  <si>
    <t>[7.§ (1) zs); (11)-(12); 4.§ 18., 34/a)]</t>
  </si>
  <si>
    <t>Beruházás,szellemi termék értékéből meghatározott esetekben az elszámolt összeg kétszerese</t>
  </si>
  <si>
    <t>[8.§ (1) u)]</t>
  </si>
  <si>
    <t>Kapcsolt vállalkozások között a szokásos piaci ár és az alkalmazott ellenérték alapján számított különbözetnek megfelelő összeg</t>
  </si>
  <si>
    <t>[18.§ (1) b); 4.§ 23.]</t>
  </si>
  <si>
    <t>Kapcsolt vállalkozások között a szokásos piaci ár és az alkalmazott ellenérték különbségének megfelelő összeg</t>
  </si>
  <si>
    <t>[18.§ (1) a); 4.§ 23.]</t>
  </si>
  <si>
    <t>Nem a vállalkozás érdekében felmerült, költségként, ráfordításként elszámolt összeg</t>
  </si>
  <si>
    <t>[8.§ (1) d); 3.számú melléklet]</t>
  </si>
  <si>
    <t>2009. december 31-ig kapott támogatás, juttatás, elengedett kötelezettség miatt az adóévben bevételként elszámolt összeg meghatározott feltételek szerint.</t>
  </si>
  <si>
    <t>[29/I.§ (2)]</t>
  </si>
  <si>
    <t>Műemlék értékét növelő felújítás költsége</t>
  </si>
  <si>
    <t>[7.§ (1) ty)]</t>
  </si>
  <si>
    <t>Saját tőke háromszorosát meghaladó kötelezettség elszámolt kamatának arányos része (alultőkésítési szabály)</t>
  </si>
  <si>
    <t>[8.§ (1) j); 8.§ (2), (5)]</t>
  </si>
  <si>
    <t xml:space="preserve">A forintról devizára, devizáról forintra, vagy devizáról más devizára való áttérés során a tőketartalék növeléseként elszámolt átszámítási különbözetek összege az áttérést követő adóévben </t>
  </si>
  <si>
    <t>[8.§ (1) o)]</t>
  </si>
  <si>
    <t xml:space="preserve">A forintról devizára, devizáról forintra, vagy devizáról más devizára való áttérés következtében az eredménytartalék csökkentéseként  elszámolt átszámítási különbözetek összege az áttérést követő adóévben </t>
  </si>
  <si>
    <t>[7.§ (1) p)]</t>
  </si>
  <si>
    <t>Ellenőrzött külföldi társaságban lévő részesedésre vagy a bejelentett részesedéshez kapcsolódó korrekció</t>
  </si>
  <si>
    <t>[8.§ (1) m)]</t>
  </si>
  <si>
    <t>A bejelentett részesedésre az adóévben visszaírt értékvesztés, valamint értékesítésének adóévi árfolyamnyeresége</t>
  </si>
  <si>
    <t>[7.§ (1) dz)]</t>
  </si>
  <si>
    <t>Átalakulások, kedvezményezett részesedéscsere, kedvezményezett eszközátruházás miatti korrekciók</t>
  </si>
  <si>
    <t>[8. § (1) r),t) (7); 16.§ (2) d), (11)-(14)]</t>
  </si>
  <si>
    <t>[7.§ (1) h), gy); 7. § (10); 16.§ (2) d); (11)-(14); 4. § (11)]</t>
  </si>
  <si>
    <t>Tartós adományozás nem teljesülése miatti korrekciók</t>
  </si>
  <si>
    <t>[8.§ (1) s); 29/C.§ (7)]</t>
  </si>
  <si>
    <t>Létszámcsökkenés miatti korrekció</t>
  </si>
  <si>
    <t>[8.§ (1) v); 8.§.(6); 16.§ (1) ch)]</t>
  </si>
  <si>
    <t>Létszám növekmény miatti korrekció</t>
  </si>
  <si>
    <t>[7.§ (1) y);  7.§ (19), (20)]</t>
  </si>
  <si>
    <t>A külföldi pénzértékben fennálló egyes követelések és kötelezettségek értékelésekor megállapított, nem realizált veszteség jellegű árfolyamkülönbözet</t>
  </si>
  <si>
    <t>[8.§ (1) dzs); 7.§ (2)]</t>
  </si>
  <si>
    <t>A külföldi pénzértékben fennálló egyes követelések és kötelezettségek értékelésekor megállapított, nyereséget eredményező, nem realizált  árfolyamkülönbözet az adózó döntése szerint.</t>
  </si>
  <si>
    <t>[7.§ (1) dzs); (2)]</t>
  </si>
  <si>
    <t>Kapott jogdíj max. adózás előtti eredmény 50%-a</t>
  </si>
  <si>
    <t>[7.§ (1) s); 7.§ (14); 4.§ 20.]</t>
  </si>
  <si>
    <t>Tulajdoni részesedést jelentő befektetés kivezetése miatti csökkentő tétel a törvényben meghatározott kivételekkel</t>
  </si>
  <si>
    <t>[7.§ (1) gy); 7.§ (10), 4.§ (11)]</t>
  </si>
  <si>
    <t xml:space="preserve">Továbbfoglalkoztatott szakképző iskolai tanuló, munkanélküli foglalkoztatásának kedvezményei </t>
  </si>
  <si>
    <t>[7.§ (1) j); 7.§ (3); 
1998. évi LXVI. tv. 12.§ (5)]</t>
  </si>
  <si>
    <t>Képzőművészeti alkotás beszerzésére 2009.12.31-ig fordított összeg 1/5-öd része</t>
  </si>
  <si>
    <t>[29/I.§ (1)]</t>
  </si>
  <si>
    <t>Visszavásárolt saját üzletrész, részvény, részjegybevonás bevételének a bekerülési értékét meghaladó része</t>
  </si>
  <si>
    <t>[7.§ (1) m)]</t>
  </si>
  <si>
    <t>Az adózó által átruházott részesedésre elszámolt árfolyamnyereség</t>
  </si>
  <si>
    <t>[7.§ (1) w); 29/I.§ (4)]</t>
  </si>
  <si>
    <t>Az alapkutatás, az alkalmazott kutatás és a kísérleti fejlesztés adóévben felmerült közvetlen költségeként elszámolt, a kapott támogatással előírt feltételek szerint csökkentett összege</t>
  </si>
  <si>
    <t>[7.§ (1) t); (17); (18); 29/G.§ (2)]</t>
  </si>
  <si>
    <t xml:space="preserve">Egyéb adóalapot növelő tételek </t>
  </si>
  <si>
    <t xml:space="preserve">Egyéb adóalapot csökkentő tételek </t>
  </si>
  <si>
    <t xml:space="preserve">Adózás alapját növelő tételek összesen  </t>
  </si>
  <si>
    <t xml:space="preserve">Adózás alapját csökkentő tételek összesen  </t>
  </si>
  <si>
    <t>Adózás alapját képező eredmény (az adóév egészére megállapított adóalap)</t>
  </si>
  <si>
    <t>[6. §;  7.§;  8. §; 16. §; 18. §;  28. §]</t>
  </si>
  <si>
    <t>Arányos adóalap: 2010. január 1. - 2010. június 30.      (181 nap)</t>
  </si>
  <si>
    <t>[2010. évi XC. törvény 14.§; TAO tv. kiegészítése a 29/K §.-sal.]</t>
  </si>
  <si>
    <t xml:space="preserve"> - Adóalapból 10 %-kal adózó rész (50 mFt-ig)</t>
  </si>
  <si>
    <t xml:space="preserve"> - Adóalapból 19 %-kal adózó rész</t>
  </si>
  <si>
    <t>2010. június 30-áig számított társasági adó</t>
  </si>
  <si>
    <t>Arányos adóalap: 2010. július 1. - 2010. december 31.  (184 nap)</t>
  </si>
  <si>
    <t>[2010. évi XC. törvény 13.§ 14.§]</t>
  </si>
  <si>
    <t>2010. július 1-jétől az adóév végéig számított társasági adó</t>
  </si>
  <si>
    <t>Számított társasági adó az adóév egészére összesen</t>
  </si>
  <si>
    <t>Adókedvezmények</t>
  </si>
  <si>
    <t xml:space="preserve"> -</t>
  </si>
  <si>
    <t>Adómentesség</t>
  </si>
  <si>
    <t>[20. §]</t>
  </si>
  <si>
    <t xml:space="preserve">Fizetendő társasági adó </t>
  </si>
  <si>
    <t xml:space="preserve">Adózott eredmény </t>
  </si>
  <si>
    <t xml:space="preserve">Jövedelem-(nyereség-)minimum </t>
  </si>
  <si>
    <t>1996. évi LXXXI. tv.</t>
  </si>
  <si>
    <t>eFt</t>
  </si>
  <si>
    <t>Tárgyidőszaki adat</t>
  </si>
  <si>
    <t>Bevételek</t>
  </si>
  <si>
    <t>Értékesítés nettó árbevétele</t>
  </si>
  <si>
    <t xml:space="preserve">2000. évi C. tv. 72-75. §  </t>
  </si>
  <si>
    <t>Egyéb bevételek</t>
  </si>
  <si>
    <t xml:space="preserve">2000. évi C. tv 77. §  </t>
  </si>
  <si>
    <t>Pénzügyi műveletek bevétele</t>
  </si>
  <si>
    <t xml:space="preserve">2000. évi C. tv 84. §  </t>
  </si>
  <si>
    <t>Rendkívüli bevételek</t>
  </si>
  <si>
    <t>2000. évi C. tv 86. §  (2)-(5) bekezdés</t>
  </si>
  <si>
    <t>Összes bevétel:</t>
  </si>
  <si>
    <t>4. § 4.29</t>
  </si>
  <si>
    <t>Bevételt növelő tételek:</t>
  </si>
  <si>
    <t>A jogelőd kedvezményezett átalakulására, illetve kedvezményezett részesedéscserére tekintettel a tag, a részvényes az általa csökkentő tételként figyelembe vett összegből a megszerzett részesedés bekerülési értéke csökkentéseként, könyv szerinti értéke kivezetéseként az adóévben bármely jogcímen elszámolt (de összesen legfeljebb a részesedésre az említett rendelkezés alapján csökkentő tételként figyelembe vett) összeg, továbbá jogutód nélküli megszűnésének adóévében az a rész, amelyet még nem számolt el növelő tételként.</t>
  </si>
  <si>
    <t>6.§ (9) a)</t>
  </si>
  <si>
    <t>Az átvevő társaság - az átruházó nyilatkozata alapján - az átruházónál az összes bevétel csökkentéseként figyelembe vett összegből az átvett tárgyi eszközökre és immateriális javakra a számviteli előírás alapján elszámolt értékcsökkenésnek az átvett eszközök bekerülési értéke arányában számított összeggel, továbbá jogutód nélküli megszűnésének adóévében a fennmaradó összeggel.</t>
  </si>
  <si>
    <t>6.§ (9) b)</t>
  </si>
  <si>
    <t>Bevételt növelő tételek összesen:</t>
  </si>
  <si>
    <t>Bevételt csökkentő tételek:</t>
  </si>
  <si>
    <t xml:space="preserve">az eladott áruk beszerzési értéke </t>
  </si>
  <si>
    <t>6.§ (8) a)</t>
  </si>
  <si>
    <t>eladott közvetített szolgáltatás értéke</t>
  </si>
  <si>
    <t>a jogelőd tagjánál, részvényesénél - a kedvezményezett átalakulással létrejött adózóban szerzett részesedés bekerülési értékeként - az adóévben elszámolt bevétel</t>
  </si>
  <si>
    <t>6.§ (8) b)</t>
  </si>
  <si>
    <t>az átruházó társaságnál kedvezményezett eszközátruházás esetén az önálló szervezeti egységének átruházása alapján az adóévben elszámolt bevétel</t>
  </si>
  <si>
    <t>6.§ (8) c)</t>
  </si>
  <si>
    <t>a megszerzett társaság tagjánál, részvényesénél a kedvezményezett részesedéscsere alapján kivezetett részesedésre az adóévben elszámolt árfolyamnyereség</t>
  </si>
  <si>
    <t>6.§ (8) d)</t>
  </si>
  <si>
    <t>Bevételt csökkentő tételek összesen:</t>
  </si>
  <si>
    <r>
      <t>Korrigált összes bevétel</t>
    </r>
    <r>
      <rPr>
        <sz val="12"/>
        <color indexed="8"/>
        <rFont val="Garamond"/>
        <family val="1"/>
        <charset val="238"/>
      </rPr>
      <t xml:space="preserve">
</t>
    </r>
    <r>
      <rPr>
        <b/>
        <sz val="12"/>
        <color indexed="8"/>
        <rFont val="Garamond"/>
        <family val="1"/>
        <charset val="238"/>
      </rPr>
      <t>Figyelem!</t>
    </r>
    <r>
      <rPr>
        <sz val="12"/>
        <color indexed="8"/>
        <rFont val="Garamond"/>
        <family val="1"/>
        <charset val="238"/>
      </rPr>
      <t xml:space="preserve"> 
(A 6. § (5) bekezdés b pontja alapján a nemzetközi szerződések rendelkezése</t>
    </r>
    <r>
      <rPr>
        <sz val="12"/>
        <color indexed="8"/>
        <rFont val="Arial"/>
        <family val="2"/>
        <charset val="238"/>
      </rPr>
      <t>it figyelembe véve a külföldi telephely útján végzett tevékenység révén keletkezett, telephelynek betudható jövedelem-(nyereség)minimum nélküli jövedelem-(nyereség)minimum a korrigált bevétel.</t>
    </r>
  </si>
  <si>
    <t xml:space="preserve">6.§ (5) </t>
  </si>
  <si>
    <t xml:space="preserve">Társasági adóalap  </t>
  </si>
  <si>
    <t xml:space="preserve">6.§ (1) </t>
  </si>
  <si>
    <t>Jövedelem-(nyereség)minimum szerinti adóalap (korrigált bevétel 2%-a)</t>
  </si>
  <si>
    <t xml:space="preserve">6.§ (7) </t>
  </si>
  <si>
    <t>Jövedelem-(nyereség)minimum adóalapból 10 %-kal adózó rész</t>
  </si>
  <si>
    <t>Jövedelem-(nyereség)minimum adóalapból 16 %-kal adózó rész</t>
  </si>
  <si>
    <t>Adó összege (jövedelem-(nyereség)minimum alapján) (16% vagy 10/16%)</t>
  </si>
  <si>
    <t>iparűzési adó</t>
  </si>
  <si>
    <t>Pénzügyi műveletek ráfordításai</t>
  </si>
  <si>
    <t>Szokásos Váll. Eredmény</t>
  </si>
  <si>
    <t>MOGYORÓD NONOROFIT KFT</t>
  </si>
  <si>
    <t>EGYÉB</t>
  </si>
  <si>
    <t>MOGYORÓD</t>
  </si>
  <si>
    <t xml:space="preserve"> VÁLLALKOZÁSI TEV.</t>
  </si>
  <si>
    <t>KÖZHASZNÚ TEV.</t>
  </si>
  <si>
    <t>2017.évi</t>
  </si>
  <si>
    <t xml:space="preserve"> - Adóalapból 9 %-kal adózó rész (250 mFt-ig)</t>
  </si>
  <si>
    <t>2024.12.31. VÁLLALKOZÁSI TEV.</t>
  </si>
  <si>
    <t>2024.12.31. KÖZHASZNÚ TEV.</t>
  </si>
  <si>
    <t>2024.12.31 ÖSSZESEN.</t>
  </si>
  <si>
    <t>2025.12.31. VÁLLALKOZÁSI TEV.</t>
  </si>
  <si>
    <t>2025.12.31. KÖZHASZNÚ TEV.</t>
  </si>
  <si>
    <t>2025.12.31 ÖSSZESEN.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</si>
</sst>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\ _F_t_-;\-* #,##0\ _F_t_-;_-* &quot;-&quot;\ _F_t_-;_-@_-"/>
    <numFmt numFmtId="165" formatCode="_-* #,##0.00\ _F_t_-;\-* #,##0.00\ _F_t_-;_-* &quot;-&quot;??\ _F_t_-;_-@_-"/>
    <numFmt numFmtId="166" formatCode="_-* #,##0\ _F_t_._-;\-* #,##0\ _F_t_._-;_-* &quot;-&quot;??\ _F_t_._-;_-@_-"/>
    <numFmt numFmtId="167" formatCode="_-* #,##0.0\ _F_t_._-;\-* #,##0.0\ _F_t_._-;_-* &quot;-&quot;??\ _F_t_._-;_-@_-"/>
  </numFmts>
  <fonts count="38">
    <font>
      <sz val="10"/>
      <name val="Arial CE"/>
      <charset val="238"/>
    </font>
    <font>
      <sz val="10"/>
      <name val="Arial CE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sz val="11"/>
      <color indexed="56"/>
      <name val="Garamond"/>
      <family val="1"/>
      <charset val="238"/>
    </font>
    <font>
      <b/>
      <sz val="12"/>
      <color indexed="8"/>
      <name val="Garamond"/>
      <family val="1"/>
      <charset val="238"/>
    </font>
    <font>
      <sz val="12"/>
      <color indexed="8"/>
      <name val="Garamond"/>
      <family val="1"/>
      <charset val="238"/>
    </font>
    <font>
      <b/>
      <sz val="16"/>
      <color indexed="8"/>
      <name val="Garamond"/>
      <family val="1"/>
      <charset val="238"/>
    </font>
    <font>
      <b/>
      <u/>
      <sz val="12"/>
      <color indexed="8"/>
      <name val="Garamond"/>
      <family val="1"/>
      <charset val="238"/>
    </font>
    <font>
      <sz val="11"/>
      <color indexed="8"/>
      <name val="Garamond"/>
      <family val="1"/>
      <charset val="238"/>
    </font>
    <font>
      <sz val="10"/>
      <color indexed="8"/>
      <name val="Garamond"/>
      <family val="1"/>
      <charset val="238"/>
    </font>
    <font>
      <b/>
      <sz val="10"/>
      <color indexed="8"/>
      <name val="Garamond"/>
      <family val="1"/>
      <charset val="238"/>
    </font>
    <font>
      <b/>
      <sz val="11"/>
      <color indexed="8"/>
      <name val="Garamond"/>
      <family val="1"/>
      <charset val="238"/>
    </font>
    <font>
      <b/>
      <sz val="14"/>
      <color indexed="8"/>
      <name val="Garamond"/>
      <family val="1"/>
      <charset val="238"/>
    </font>
    <font>
      <b/>
      <sz val="12"/>
      <color indexed="56"/>
      <name val="Garamond"/>
      <family val="1"/>
      <charset val="238"/>
    </font>
    <font>
      <b/>
      <sz val="10"/>
      <color indexed="56"/>
      <name val="Arial CE"/>
      <charset val="238"/>
    </font>
    <font>
      <sz val="12"/>
      <color indexed="56"/>
      <name val="Arial CE"/>
      <family val="2"/>
      <charset val="238"/>
    </font>
    <font>
      <b/>
      <sz val="12"/>
      <color indexed="56"/>
      <name val="Arial CE"/>
      <family val="2"/>
      <charset val="238"/>
    </font>
    <font>
      <b/>
      <sz val="10"/>
      <color indexed="56"/>
      <name val="Arial CE"/>
      <family val="2"/>
      <charset val="238"/>
    </font>
    <font>
      <b/>
      <sz val="18"/>
      <color indexed="56"/>
      <name val="Arial CE"/>
      <family val="2"/>
      <charset val="238"/>
    </font>
    <font>
      <sz val="10"/>
      <color indexed="56"/>
      <name val="Arial CE"/>
      <family val="2"/>
      <charset val="238"/>
    </font>
    <font>
      <sz val="10"/>
      <color indexed="56"/>
      <name val="Arial CE"/>
      <charset val="238"/>
    </font>
    <font>
      <b/>
      <sz val="11"/>
      <color indexed="56"/>
      <name val="Arial CE"/>
      <family val="2"/>
      <charset val="238"/>
    </font>
    <font>
      <b/>
      <u/>
      <sz val="12"/>
      <color indexed="56"/>
      <name val="Arial CE"/>
      <family val="2"/>
      <charset val="238"/>
    </font>
    <font>
      <sz val="11"/>
      <color indexed="56"/>
      <name val="Arial CE"/>
      <family val="2"/>
      <charset val="238"/>
    </font>
    <font>
      <b/>
      <sz val="12"/>
      <color indexed="56"/>
      <name val="Arial CE"/>
      <charset val="238"/>
    </font>
    <font>
      <sz val="12"/>
      <color indexed="56"/>
      <name val="Arial CE"/>
      <charset val="238"/>
    </font>
    <font>
      <b/>
      <sz val="12"/>
      <color indexed="10"/>
      <name val="Arial CE"/>
      <family val="2"/>
      <charset val="238"/>
    </font>
    <font>
      <sz val="9"/>
      <color indexed="56"/>
      <name val="Arial CE"/>
      <charset val="238"/>
    </font>
    <font>
      <b/>
      <sz val="10"/>
      <color indexed="10"/>
      <name val="Arial CE"/>
      <charset val="238"/>
    </font>
    <font>
      <b/>
      <sz val="12"/>
      <color indexed="16"/>
      <name val="Garamond"/>
      <family val="1"/>
      <charset val="238"/>
    </font>
    <font>
      <sz val="12"/>
      <color indexed="8"/>
      <name val="Arial"/>
      <family val="2"/>
      <charset val="238"/>
    </font>
    <font>
      <b/>
      <sz val="12"/>
      <color indexed="10"/>
      <name val="Garamond"/>
      <family val="1"/>
      <charset val="238"/>
    </font>
    <font>
      <sz val="12"/>
      <color indexed="56"/>
      <name val="Garamond"/>
      <family val="1"/>
      <charset val="238"/>
    </font>
    <font>
      <b/>
      <sz val="12"/>
      <name val="Garamond"/>
      <family val="1"/>
      <charset val="238"/>
    </font>
    <font>
      <sz val="8"/>
      <name val="Arial CE"/>
      <charset val="238"/>
    </font>
    <font>
      <sz val="12"/>
      <name val="Times New Roman"/>
      <family val="2"/>
      <charset val="238"/>
    </font>
  </fonts>
  <fills count="8">
    <fill>
      <patternFill patternType="none"/>
    </fill>
    <fill>
      <patternFill patternType="gray125"/>
    </fill>
    <fill>
      <patternFill patternType="mediumGray">
        <fgColor indexed="26"/>
        <bgColor indexed="43"/>
      </patternFill>
    </fill>
    <fill>
      <patternFill patternType="solid">
        <fgColor indexed="13"/>
        <bgColor indexed="64"/>
      </patternFill>
    </fill>
    <fill>
      <patternFill patternType="mediumGray">
        <fgColor indexed="26"/>
        <bgColor indexed="52"/>
      </patternFill>
    </fill>
    <fill>
      <patternFill patternType="mediumGray">
        <fgColor indexed="26"/>
        <bgColor indexed="5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8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double">
        <color indexed="56"/>
      </top>
      <bottom/>
      <diagonal/>
    </border>
    <border>
      <left style="thin">
        <color indexed="56"/>
      </left>
      <right style="double">
        <color indexed="56"/>
      </right>
      <top style="double">
        <color indexed="56"/>
      </top>
      <bottom style="thin">
        <color indexed="56"/>
      </bottom>
      <diagonal/>
    </border>
    <border>
      <left style="thin">
        <color indexed="56"/>
      </left>
      <right style="double">
        <color indexed="56"/>
      </right>
      <top style="thin">
        <color indexed="56"/>
      </top>
      <bottom style="thin">
        <color indexed="56"/>
      </bottom>
      <diagonal/>
    </border>
    <border>
      <left style="thin">
        <color indexed="56"/>
      </left>
      <right/>
      <top style="thin">
        <color indexed="56"/>
      </top>
      <bottom style="thin">
        <color indexed="56"/>
      </bottom>
      <diagonal/>
    </border>
    <border>
      <left/>
      <right/>
      <top style="thin">
        <color indexed="56"/>
      </top>
      <bottom style="thin">
        <color indexed="56"/>
      </bottom>
      <diagonal/>
    </border>
    <border>
      <left/>
      <right style="thin">
        <color indexed="56"/>
      </right>
      <top style="thin">
        <color indexed="56"/>
      </top>
      <bottom style="thin">
        <color indexed="56"/>
      </bottom>
      <diagonal/>
    </border>
    <border>
      <left style="double">
        <color indexed="56"/>
      </left>
      <right/>
      <top/>
      <bottom/>
      <diagonal/>
    </border>
    <border>
      <left style="thin">
        <color indexed="56"/>
      </left>
      <right/>
      <top style="thin">
        <color indexed="56"/>
      </top>
      <bottom/>
      <diagonal/>
    </border>
    <border>
      <left/>
      <right/>
      <top style="thin">
        <color indexed="56"/>
      </top>
      <bottom/>
      <diagonal/>
    </border>
    <border>
      <left/>
      <right style="thin">
        <color indexed="56"/>
      </right>
      <top style="thin">
        <color indexed="56"/>
      </top>
      <bottom/>
      <diagonal/>
    </border>
    <border>
      <left style="thin">
        <color indexed="56"/>
      </left>
      <right/>
      <top/>
      <bottom/>
      <diagonal/>
    </border>
    <border>
      <left/>
      <right style="thin">
        <color indexed="56"/>
      </right>
      <top/>
      <bottom/>
      <diagonal/>
    </border>
    <border>
      <left style="thin">
        <color indexed="56"/>
      </left>
      <right/>
      <top/>
      <bottom style="thin">
        <color indexed="56"/>
      </bottom>
      <diagonal/>
    </border>
    <border>
      <left/>
      <right/>
      <top/>
      <bottom style="thin">
        <color indexed="56"/>
      </bottom>
      <diagonal/>
    </border>
    <border>
      <left/>
      <right style="thin">
        <color indexed="56"/>
      </right>
      <top/>
      <bottom style="thin">
        <color indexed="56"/>
      </bottom>
      <diagonal/>
    </border>
    <border>
      <left style="double">
        <color indexed="56"/>
      </left>
      <right/>
      <top style="medium">
        <color indexed="56"/>
      </top>
      <bottom style="medium">
        <color indexed="56"/>
      </bottom>
      <diagonal/>
    </border>
    <border>
      <left/>
      <right/>
      <top style="medium">
        <color indexed="56"/>
      </top>
      <bottom style="medium">
        <color indexed="56"/>
      </bottom>
      <diagonal/>
    </border>
    <border>
      <left style="thin">
        <color indexed="56"/>
      </left>
      <right style="double">
        <color indexed="56"/>
      </right>
      <top style="medium">
        <color indexed="56"/>
      </top>
      <bottom style="medium">
        <color indexed="56"/>
      </bottom>
      <diagonal/>
    </border>
    <border>
      <left style="thin">
        <color indexed="56"/>
      </left>
      <right style="thin">
        <color indexed="56"/>
      </right>
      <top style="thin">
        <color indexed="56"/>
      </top>
      <bottom/>
      <diagonal/>
    </border>
    <border>
      <left/>
      <right style="double">
        <color indexed="56"/>
      </right>
      <top style="medium">
        <color indexed="56"/>
      </top>
      <bottom style="medium">
        <color indexed="56"/>
      </bottom>
      <diagonal/>
    </border>
    <border>
      <left style="double">
        <color indexed="56"/>
      </left>
      <right style="thin">
        <color indexed="56"/>
      </right>
      <top style="medium">
        <color indexed="56"/>
      </top>
      <bottom style="thin">
        <color indexed="56"/>
      </bottom>
      <diagonal/>
    </border>
    <border>
      <left style="thin">
        <color indexed="56"/>
      </left>
      <right style="thin">
        <color indexed="56"/>
      </right>
      <top style="medium">
        <color indexed="56"/>
      </top>
      <bottom style="thin">
        <color indexed="56"/>
      </bottom>
      <diagonal/>
    </border>
    <border>
      <left style="double">
        <color indexed="56"/>
      </left>
      <right style="thin">
        <color indexed="56"/>
      </right>
      <top style="thin">
        <color indexed="56"/>
      </top>
      <bottom style="thin">
        <color indexed="56"/>
      </bottom>
      <diagonal/>
    </border>
    <border>
      <left style="thin">
        <color indexed="56"/>
      </left>
      <right style="thin">
        <color indexed="56"/>
      </right>
      <top style="thin">
        <color indexed="56"/>
      </top>
      <bottom style="thin">
        <color indexed="56"/>
      </bottom>
      <diagonal/>
    </border>
    <border>
      <left style="double">
        <color indexed="56"/>
      </left>
      <right style="thin">
        <color indexed="56"/>
      </right>
      <top style="thin">
        <color indexed="56"/>
      </top>
      <bottom style="medium">
        <color indexed="56"/>
      </bottom>
      <diagonal/>
    </border>
    <border>
      <left style="thin">
        <color indexed="56"/>
      </left>
      <right style="thin">
        <color indexed="56"/>
      </right>
      <top style="thin">
        <color indexed="56"/>
      </top>
      <bottom style="medium">
        <color indexed="56"/>
      </bottom>
      <diagonal/>
    </border>
    <border>
      <left style="double">
        <color indexed="56"/>
      </left>
      <right style="thin">
        <color indexed="56"/>
      </right>
      <top style="medium">
        <color indexed="56"/>
      </top>
      <bottom style="medium">
        <color indexed="56"/>
      </bottom>
      <diagonal/>
    </border>
    <border>
      <left style="thin">
        <color indexed="56"/>
      </left>
      <right style="thin">
        <color indexed="56"/>
      </right>
      <top style="medium">
        <color indexed="56"/>
      </top>
      <bottom style="medium">
        <color indexed="56"/>
      </bottom>
      <diagonal/>
    </border>
    <border>
      <left style="double">
        <color indexed="56"/>
      </left>
      <right/>
      <top style="medium">
        <color indexed="56"/>
      </top>
      <bottom style="thin">
        <color indexed="56"/>
      </bottom>
      <diagonal/>
    </border>
    <border>
      <left/>
      <right/>
      <top style="medium">
        <color indexed="56"/>
      </top>
      <bottom style="thin">
        <color indexed="56"/>
      </bottom>
      <diagonal/>
    </border>
    <border>
      <left style="thin">
        <color indexed="56"/>
      </left>
      <right style="double">
        <color indexed="56"/>
      </right>
      <top style="medium">
        <color indexed="56"/>
      </top>
      <bottom style="thin">
        <color indexed="56"/>
      </bottom>
      <diagonal/>
    </border>
    <border>
      <left style="double">
        <color indexed="56"/>
      </left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56"/>
      </left>
      <right style="double">
        <color indexed="56"/>
      </right>
      <top style="thin">
        <color indexed="56"/>
      </top>
      <bottom style="double">
        <color indexed="56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56"/>
      </left>
      <right style="thin">
        <color indexed="56"/>
      </right>
      <top style="thin">
        <color indexed="56"/>
      </top>
      <bottom/>
      <diagonal/>
    </border>
    <border>
      <left style="double">
        <color indexed="56"/>
      </left>
      <right style="thin">
        <color indexed="56"/>
      </right>
      <top/>
      <bottom/>
      <diagonal/>
    </border>
    <border>
      <left style="double">
        <color indexed="56"/>
      </left>
      <right style="thin">
        <color indexed="56"/>
      </right>
      <top/>
      <bottom style="medium">
        <color indexed="56"/>
      </bottom>
      <diagonal/>
    </border>
    <border>
      <left style="double">
        <color indexed="56"/>
      </left>
      <right style="thin">
        <color indexed="56"/>
      </right>
      <top/>
      <bottom style="thin">
        <color indexed="56"/>
      </bottom>
      <diagonal/>
    </border>
    <border>
      <left style="thin">
        <color indexed="56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56"/>
      </right>
      <top style="thin">
        <color indexed="64"/>
      </top>
      <bottom style="thin">
        <color indexed="64"/>
      </bottom>
      <diagonal/>
    </border>
    <border>
      <left style="double">
        <color indexed="56"/>
      </left>
      <right/>
      <top style="double">
        <color indexed="56"/>
      </top>
      <bottom/>
      <diagonal/>
    </border>
    <border>
      <left/>
      <right style="thin">
        <color indexed="56"/>
      </right>
      <top style="double">
        <color indexed="56"/>
      </top>
      <bottom/>
      <diagonal/>
    </border>
    <border>
      <left style="thin">
        <color indexed="56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56"/>
      </right>
      <top style="thin">
        <color indexed="64"/>
      </top>
      <bottom/>
      <diagonal/>
    </border>
    <border>
      <left style="thin">
        <color indexed="56"/>
      </left>
      <right style="thin">
        <color indexed="56"/>
      </right>
      <top/>
      <bottom/>
      <diagonal/>
    </border>
    <border>
      <left style="thin">
        <color indexed="56"/>
      </left>
      <right style="thin">
        <color indexed="56"/>
      </right>
      <top/>
      <bottom style="thin">
        <color indexed="56"/>
      </bottom>
      <diagonal/>
    </border>
    <border>
      <left style="thin">
        <color indexed="56"/>
      </left>
      <right style="thin">
        <color indexed="56"/>
      </right>
      <top/>
      <bottom style="medium">
        <color indexed="56"/>
      </bottom>
      <diagonal/>
    </border>
    <border>
      <left style="thin">
        <color indexed="56"/>
      </left>
      <right/>
      <top style="medium">
        <color indexed="56"/>
      </top>
      <bottom style="medium">
        <color indexed="56"/>
      </bottom>
      <diagonal/>
    </border>
    <border>
      <left/>
      <right style="thin">
        <color indexed="56"/>
      </right>
      <top style="medium">
        <color indexed="56"/>
      </top>
      <bottom style="medium">
        <color indexed="56"/>
      </bottom>
      <diagonal/>
    </border>
    <border>
      <left style="thin">
        <color indexed="56"/>
      </left>
      <right style="double">
        <color indexed="56"/>
      </right>
      <top/>
      <bottom/>
      <diagonal/>
    </border>
    <border>
      <left style="thin">
        <color indexed="56"/>
      </left>
      <right style="double">
        <color indexed="56"/>
      </right>
      <top/>
      <bottom style="medium">
        <color indexed="56"/>
      </bottom>
      <diagonal/>
    </border>
    <border>
      <left style="thin">
        <color indexed="56"/>
      </left>
      <right/>
      <top style="medium">
        <color indexed="56"/>
      </top>
      <bottom style="thin">
        <color indexed="56"/>
      </bottom>
      <diagonal/>
    </border>
    <border>
      <left/>
      <right style="thin">
        <color indexed="56"/>
      </right>
      <top style="medium">
        <color indexed="56"/>
      </top>
      <bottom style="thin">
        <color indexed="56"/>
      </bottom>
      <diagonal/>
    </border>
    <border>
      <left style="thin">
        <color indexed="56"/>
      </left>
      <right/>
      <top style="medium">
        <color indexed="56"/>
      </top>
      <bottom/>
      <diagonal/>
    </border>
    <border>
      <left/>
      <right style="thin">
        <color indexed="56"/>
      </right>
      <top style="medium">
        <color indexed="56"/>
      </top>
      <bottom/>
      <diagonal/>
    </border>
    <border>
      <left style="thin">
        <color indexed="56"/>
      </left>
      <right/>
      <top/>
      <bottom style="medium">
        <color indexed="56"/>
      </bottom>
      <diagonal/>
    </border>
    <border>
      <left/>
      <right style="thin">
        <color indexed="56"/>
      </right>
      <top/>
      <bottom style="medium">
        <color indexed="56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56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0" fontId="5" fillId="0" borderId="0">
      <alignment horizontal="left" vertical="center"/>
    </xf>
    <xf numFmtId="9" fontId="1" fillId="0" borderId="0" applyFont="0" applyFill="0" applyBorder="0" applyAlignment="0" applyProtection="0"/>
  </cellStyleXfs>
  <cellXfs count="235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1" xfId="0" applyFont="1" applyBorder="1"/>
    <xf numFmtId="0" fontId="4" fillId="0" borderId="0" xfId="0" applyFont="1"/>
    <xf numFmtId="0" fontId="2" fillId="0" borderId="2" xfId="0" applyFont="1" applyBorder="1"/>
    <xf numFmtId="0" fontId="3" fillId="0" borderId="3" xfId="0" applyFont="1" applyBorder="1"/>
    <xf numFmtId="3" fontId="2" fillId="0" borderId="4" xfId="0" applyNumberFormat="1" applyFont="1" applyBorder="1"/>
    <xf numFmtId="0" fontId="2" fillId="0" borderId="5" xfId="0" applyFont="1" applyBorder="1"/>
    <xf numFmtId="3" fontId="2" fillId="0" borderId="6" xfId="0" applyNumberFormat="1" applyFont="1" applyBorder="1"/>
    <xf numFmtId="0" fontId="2" fillId="0" borderId="7" xfId="0" applyFont="1" applyBorder="1"/>
    <xf numFmtId="0" fontId="3" fillId="0" borderId="8" xfId="0" applyFont="1" applyBorder="1"/>
    <xf numFmtId="3" fontId="3" fillId="0" borderId="8" xfId="0" applyNumberFormat="1" applyFont="1" applyBorder="1"/>
    <xf numFmtId="0" fontId="3" fillId="0" borderId="9" xfId="0" applyFont="1" applyBorder="1"/>
    <xf numFmtId="0" fontId="3" fillId="0" borderId="10" xfId="0" applyFont="1" applyBorder="1"/>
    <xf numFmtId="3" fontId="2" fillId="0" borderId="8" xfId="0" applyNumberFormat="1" applyFont="1" applyBorder="1"/>
    <xf numFmtId="0" fontId="2" fillId="0" borderId="9" xfId="0" applyFont="1" applyBorder="1"/>
    <xf numFmtId="3" fontId="2" fillId="0" borderId="10" xfId="0" applyNumberFormat="1" applyFont="1" applyBorder="1"/>
    <xf numFmtId="0" fontId="3" fillId="0" borderId="7" xfId="0" applyFont="1" applyBorder="1"/>
    <xf numFmtId="3" fontId="3" fillId="0" borderId="10" xfId="0" applyNumberFormat="1" applyFont="1" applyBorder="1"/>
    <xf numFmtId="4" fontId="3" fillId="0" borderId="8" xfId="0" applyNumberFormat="1" applyFont="1" applyBorder="1"/>
    <xf numFmtId="1" fontId="3" fillId="0" borderId="9" xfId="0" applyNumberFormat="1" applyFont="1" applyBorder="1"/>
    <xf numFmtId="3" fontId="2" fillId="0" borderId="9" xfId="0" applyNumberFormat="1" applyFont="1" applyBorder="1"/>
    <xf numFmtId="3" fontId="3" fillId="0" borderId="9" xfId="0" applyNumberFormat="1" applyFont="1" applyBorder="1"/>
    <xf numFmtId="3" fontId="2" fillId="0" borderId="3" xfId="0" applyNumberFormat="1" applyFont="1" applyBorder="1"/>
    <xf numFmtId="3" fontId="2" fillId="0" borderId="11" xfId="0" applyNumberFormat="1" applyFont="1" applyBorder="1"/>
    <xf numFmtId="3" fontId="3" fillId="0" borderId="8" xfId="1" applyNumberFormat="1" applyFont="1" applyBorder="1"/>
    <xf numFmtId="9" fontId="3" fillId="0" borderId="8" xfId="3" applyFont="1" applyBorder="1"/>
    <xf numFmtId="0" fontId="2" fillId="0" borderId="7" xfId="0" applyFont="1" applyBorder="1" applyAlignment="1">
      <alignment horizontal="right"/>
    </xf>
    <xf numFmtId="0" fontId="6" fillId="0" borderId="0" xfId="2" applyFont="1" applyProtection="1">
      <alignment horizontal="left" vertical="center"/>
      <protection locked="0"/>
    </xf>
    <xf numFmtId="0" fontId="6" fillId="2" borderId="0" xfId="2" applyFont="1" applyFill="1" applyProtection="1">
      <alignment horizontal="left" vertical="center"/>
      <protection hidden="1"/>
    </xf>
    <xf numFmtId="166" fontId="8" fillId="2" borderId="0" xfId="1" applyNumberFormat="1" applyFont="1" applyFill="1" applyAlignment="1" applyProtection="1">
      <alignment horizontal="right" vertical="center"/>
      <protection hidden="1"/>
    </xf>
    <xf numFmtId="0" fontId="8" fillId="2" borderId="0" xfId="2" applyFont="1" applyFill="1" applyAlignment="1" applyProtection="1">
      <alignment horizontal="centerContinuous" vertical="top" wrapText="1"/>
      <protection hidden="1"/>
    </xf>
    <xf numFmtId="0" fontId="8" fillId="2" borderId="0" xfId="2" applyFont="1" applyFill="1" applyAlignment="1" applyProtection="1">
      <alignment horizontal="centerContinuous" vertical="top"/>
      <protection hidden="1"/>
    </xf>
    <xf numFmtId="166" fontId="7" fillId="2" borderId="0" xfId="1" applyNumberFormat="1" applyFont="1" applyFill="1" applyBorder="1" applyAlignment="1" applyProtection="1">
      <alignment horizontal="centerContinuous"/>
      <protection hidden="1"/>
    </xf>
    <xf numFmtId="0" fontId="6" fillId="2" borderId="12" xfId="2" applyFont="1" applyFill="1" applyBorder="1" applyAlignment="1" applyProtection="1">
      <alignment horizontal="center" vertical="center" wrapText="1"/>
      <protection hidden="1"/>
    </xf>
    <xf numFmtId="166" fontId="6" fillId="2" borderId="13" xfId="1" applyNumberFormat="1" applyFont="1" applyFill="1" applyBorder="1" applyAlignment="1" applyProtection="1">
      <alignment horizontal="center" vertical="center" wrapText="1"/>
      <protection hidden="1"/>
    </xf>
    <xf numFmtId="166" fontId="7" fillId="0" borderId="14" xfId="1" applyNumberFormat="1" applyFont="1" applyFill="1" applyBorder="1" applyAlignment="1" applyProtection="1">
      <alignment horizontal="center" vertical="center"/>
      <protection locked="0"/>
    </xf>
    <xf numFmtId="166" fontId="7" fillId="0" borderId="14" xfId="1" applyNumberFormat="1" applyFont="1" applyFill="1" applyBorder="1" applyAlignment="1" applyProtection="1">
      <alignment horizontal="right" vertical="center"/>
      <protection locked="0"/>
    </xf>
    <xf numFmtId="0" fontId="6" fillId="2" borderId="15" xfId="2" applyFont="1" applyFill="1" applyBorder="1" applyProtection="1">
      <alignment horizontal="left" vertical="center"/>
      <protection hidden="1"/>
    </xf>
    <xf numFmtId="0" fontId="6" fillId="2" borderId="16" xfId="2" applyFont="1" applyFill="1" applyBorder="1" applyAlignment="1" applyProtection="1">
      <alignment horizontal="right" vertical="center"/>
      <protection hidden="1"/>
    </xf>
    <xf numFmtId="0" fontId="6" fillId="2" borderId="17" xfId="2" applyFont="1" applyFill="1" applyBorder="1" applyAlignment="1" applyProtection="1">
      <alignment horizontal="right" vertical="center"/>
      <protection hidden="1"/>
    </xf>
    <xf numFmtId="166" fontId="6" fillId="2" borderId="14" xfId="1" applyNumberFormat="1" applyFont="1" applyFill="1" applyBorder="1" applyAlignment="1" applyProtection="1">
      <alignment horizontal="right" vertical="center"/>
      <protection hidden="1"/>
    </xf>
    <xf numFmtId="0" fontId="10" fillId="2" borderId="18" xfId="0" applyFont="1" applyFill="1" applyBorder="1" applyAlignment="1" applyProtection="1">
      <alignment horizontal="left" vertical="top"/>
      <protection hidden="1"/>
    </xf>
    <xf numFmtId="0" fontId="10" fillId="2" borderId="0" xfId="0" applyFont="1" applyFill="1" applyAlignment="1" applyProtection="1">
      <alignment horizontal="left" vertical="top"/>
      <protection hidden="1"/>
    </xf>
    <xf numFmtId="0" fontId="7" fillId="2" borderId="19" xfId="2" applyFont="1" applyFill="1" applyBorder="1" applyProtection="1">
      <alignment horizontal="left" vertical="center"/>
      <protection hidden="1"/>
    </xf>
    <xf numFmtId="0" fontId="10" fillId="2" borderId="20" xfId="0" applyFont="1" applyFill="1" applyBorder="1" applyAlignment="1" applyProtection="1">
      <alignment horizontal="left" vertical="center"/>
      <protection hidden="1"/>
    </xf>
    <xf numFmtId="0" fontId="6" fillId="2" borderId="21" xfId="2" applyFont="1" applyFill="1" applyBorder="1" applyAlignment="1" applyProtection="1">
      <alignment horizontal="left" vertical="center" wrapText="1"/>
      <protection hidden="1"/>
    </xf>
    <xf numFmtId="0" fontId="6" fillId="2" borderId="20" xfId="2" applyFont="1" applyFill="1" applyBorder="1" applyAlignment="1" applyProtection="1">
      <alignment horizontal="center" vertical="center" wrapText="1"/>
      <protection hidden="1"/>
    </xf>
    <xf numFmtId="0" fontId="7" fillId="2" borderId="22" xfId="2" applyFont="1" applyFill="1" applyBorder="1" applyProtection="1">
      <alignment horizontal="left" vertical="center"/>
      <protection hidden="1"/>
    </xf>
    <xf numFmtId="0" fontId="10" fillId="2" borderId="0" xfId="0" applyFont="1" applyFill="1" applyAlignment="1" applyProtection="1">
      <alignment horizontal="left" vertical="center"/>
      <protection hidden="1"/>
    </xf>
    <xf numFmtId="0" fontId="11" fillId="2" borderId="23" xfId="2" applyFont="1" applyFill="1" applyBorder="1" applyProtection="1">
      <alignment horizontal="left" vertical="center"/>
      <protection hidden="1"/>
    </xf>
    <xf numFmtId="0" fontId="7" fillId="2" borderId="24" xfId="2" applyFont="1" applyFill="1" applyBorder="1" applyProtection="1">
      <alignment horizontal="left" vertical="center"/>
      <protection hidden="1"/>
    </xf>
    <xf numFmtId="0" fontId="10" fillId="2" borderId="25" xfId="0" applyFont="1" applyFill="1" applyBorder="1" applyAlignment="1" applyProtection="1">
      <alignment horizontal="left" vertical="center"/>
      <protection hidden="1"/>
    </xf>
    <xf numFmtId="0" fontId="10" fillId="2" borderId="26" xfId="0" applyFont="1" applyFill="1" applyBorder="1" applyAlignment="1" applyProtection="1">
      <alignment horizontal="left" vertical="center" wrapText="1"/>
      <protection hidden="1"/>
    </xf>
    <xf numFmtId="0" fontId="6" fillId="2" borderId="27" xfId="2" applyFont="1" applyFill="1" applyBorder="1" applyAlignment="1" applyProtection="1">
      <alignment horizontal="centerContinuous" vertical="center" wrapText="1"/>
      <protection hidden="1"/>
    </xf>
    <xf numFmtId="0" fontId="6" fillId="2" borderId="28" xfId="2" applyFont="1" applyFill="1" applyBorder="1" applyAlignment="1" applyProtection="1">
      <alignment horizontal="centerContinuous" vertical="center" wrapText="1"/>
      <protection hidden="1"/>
    </xf>
    <xf numFmtId="166" fontId="6" fillId="2" borderId="29" xfId="1" applyNumberFormat="1" applyFont="1" applyFill="1" applyBorder="1" applyAlignment="1" applyProtection="1">
      <alignment horizontal="right" vertical="center"/>
      <protection hidden="1"/>
    </xf>
    <xf numFmtId="0" fontId="12" fillId="2" borderId="0" xfId="2" applyFont="1" applyFill="1" applyProtection="1">
      <alignment horizontal="left" vertical="center"/>
      <protection hidden="1"/>
    </xf>
    <xf numFmtId="166" fontId="11" fillId="2" borderId="0" xfId="1" applyNumberFormat="1" applyFont="1" applyFill="1" applyAlignment="1" applyProtection="1">
      <alignment horizontal="left" vertical="center"/>
      <protection hidden="1"/>
    </xf>
    <xf numFmtId="0" fontId="7" fillId="2" borderId="30" xfId="2" applyFont="1" applyFill="1" applyBorder="1" applyAlignment="1" applyProtection="1">
      <alignment horizontal="left" vertical="center" wrapText="1"/>
      <protection hidden="1"/>
    </xf>
    <xf numFmtId="0" fontId="6" fillId="2" borderId="27" xfId="2" applyFont="1" applyFill="1" applyBorder="1" applyAlignment="1" applyProtection="1">
      <alignment horizontal="left" vertical="center" wrapText="1"/>
      <protection hidden="1"/>
    </xf>
    <xf numFmtId="0" fontId="6" fillId="2" borderId="28" xfId="2" applyFont="1" applyFill="1" applyBorder="1" applyAlignment="1" applyProtection="1">
      <alignment horizontal="left" vertical="center" wrapText="1"/>
      <protection hidden="1"/>
    </xf>
    <xf numFmtId="166" fontId="6" fillId="2" borderId="31" xfId="1" applyNumberFormat="1" applyFont="1" applyFill="1" applyBorder="1" applyAlignment="1" applyProtection="1">
      <alignment horizontal="right" vertical="center"/>
      <protection hidden="1"/>
    </xf>
    <xf numFmtId="0" fontId="7" fillId="0" borderId="32" xfId="2" applyFont="1" applyBorder="1" applyAlignment="1" applyProtection="1">
      <alignment horizontal="left" vertical="center" wrapText="1"/>
      <protection locked="0"/>
    </xf>
    <xf numFmtId="167" fontId="7" fillId="0" borderId="33" xfId="1" applyNumberFormat="1" applyFont="1" applyFill="1" applyBorder="1" applyAlignment="1" applyProtection="1">
      <alignment horizontal="left" vertical="center" wrapText="1"/>
      <protection locked="0"/>
    </xf>
    <xf numFmtId="166" fontId="7" fillId="2" borderId="33" xfId="1" applyNumberFormat="1" applyFont="1" applyFill="1" applyBorder="1" applyAlignment="1" applyProtection="1">
      <alignment horizontal="right" vertical="center"/>
      <protection hidden="1"/>
    </xf>
    <xf numFmtId="0" fontId="7" fillId="0" borderId="34" xfId="2" applyFont="1" applyBorder="1" applyAlignment="1" applyProtection="1">
      <alignment horizontal="left" vertical="center" wrapText="1"/>
      <protection locked="0"/>
    </xf>
    <xf numFmtId="167" fontId="7" fillId="0" borderId="35" xfId="1" applyNumberFormat="1" applyFont="1" applyFill="1" applyBorder="1" applyAlignment="1" applyProtection="1">
      <alignment horizontal="left" vertical="center" wrapText="1"/>
      <protection locked="0"/>
    </xf>
    <xf numFmtId="166" fontId="7" fillId="2" borderId="35" xfId="1" applyNumberFormat="1" applyFont="1" applyFill="1" applyBorder="1" applyAlignment="1" applyProtection="1">
      <alignment horizontal="right" vertical="center"/>
      <protection hidden="1"/>
    </xf>
    <xf numFmtId="0" fontId="7" fillId="0" borderId="36" xfId="2" applyFont="1" applyBorder="1" applyAlignment="1" applyProtection="1">
      <alignment horizontal="left" vertical="center" wrapText="1"/>
      <protection locked="0"/>
    </xf>
    <xf numFmtId="167" fontId="7" fillId="0" borderId="37" xfId="1" applyNumberFormat="1" applyFont="1" applyFill="1" applyBorder="1" applyAlignment="1" applyProtection="1">
      <alignment horizontal="left" vertical="center" wrapText="1"/>
      <protection locked="0"/>
    </xf>
    <xf numFmtId="166" fontId="7" fillId="2" borderId="37" xfId="1" applyNumberFormat="1" applyFont="1" applyFill="1" applyBorder="1" applyAlignment="1" applyProtection="1">
      <alignment horizontal="right" vertical="center"/>
      <protection hidden="1"/>
    </xf>
    <xf numFmtId="0" fontId="6" fillId="2" borderId="38" xfId="2" applyFont="1" applyFill="1" applyBorder="1" applyAlignment="1" applyProtection="1">
      <alignment horizontal="left" vertical="center" wrapText="1"/>
      <protection hidden="1"/>
    </xf>
    <xf numFmtId="167" fontId="7" fillId="2" borderId="39" xfId="1" applyNumberFormat="1" applyFont="1" applyFill="1" applyBorder="1" applyAlignment="1" applyProtection="1">
      <alignment horizontal="left" vertical="center" wrapText="1"/>
      <protection hidden="1"/>
    </xf>
    <xf numFmtId="0" fontId="10" fillId="2" borderId="28" xfId="0" applyFont="1" applyFill="1" applyBorder="1" applyAlignment="1" applyProtection="1">
      <alignment horizontal="right" vertical="center" wrapText="1"/>
      <protection hidden="1"/>
    </xf>
    <xf numFmtId="0" fontId="6" fillId="2" borderId="40" xfId="2" applyFont="1" applyFill="1" applyBorder="1" applyAlignment="1" applyProtection="1">
      <alignment horizontal="left" vertical="center" wrapText="1"/>
      <protection hidden="1"/>
    </xf>
    <xf numFmtId="0" fontId="6" fillId="2" borderId="41" xfId="2" applyFont="1" applyFill="1" applyBorder="1" applyAlignment="1" applyProtection="1">
      <alignment horizontal="left" vertical="center" wrapText="1"/>
      <protection hidden="1"/>
    </xf>
    <xf numFmtId="166" fontId="7" fillId="0" borderId="42" xfId="1" applyNumberFormat="1" applyFont="1" applyFill="1" applyBorder="1" applyAlignment="1" applyProtection="1">
      <alignment horizontal="right" vertical="center"/>
      <protection locked="0"/>
    </xf>
    <xf numFmtId="0" fontId="14" fillId="2" borderId="43" xfId="2" applyFont="1" applyFill="1" applyBorder="1" applyAlignment="1" applyProtection="1">
      <alignment horizontal="left" vertical="center" wrapText="1"/>
      <protection hidden="1"/>
    </xf>
    <xf numFmtId="0" fontId="14" fillId="2" borderId="44" xfId="2" applyFont="1" applyFill="1" applyBorder="1" applyAlignment="1" applyProtection="1">
      <alignment horizontal="left" vertical="center" wrapText="1"/>
      <protection hidden="1"/>
    </xf>
    <xf numFmtId="164" fontId="6" fillId="2" borderId="45" xfId="1" applyNumberFormat="1" applyFont="1" applyFill="1" applyBorder="1" applyAlignment="1" applyProtection="1">
      <alignment horizontal="right" vertical="center"/>
      <protection hidden="1"/>
    </xf>
    <xf numFmtId="0" fontId="3" fillId="0" borderId="7" xfId="0" applyFont="1" applyBorder="1" applyAlignment="1">
      <alignment horizontal="right"/>
    </xf>
    <xf numFmtId="0" fontId="4" fillId="0" borderId="46" xfId="0" applyFont="1" applyBorder="1"/>
    <xf numFmtId="0" fontId="4" fillId="0" borderId="7" xfId="0" applyFont="1" applyBorder="1"/>
    <xf numFmtId="0" fontId="4" fillId="0" borderId="2" xfId="0" applyFont="1" applyBorder="1"/>
    <xf numFmtId="0" fontId="17" fillId="2" borderId="0" xfId="2" applyFont="1" applyFill="1" applyAlignment="1" applyProtection="1">
      <alignment horizontal="center" vertical="center"/>
      <protection hidden="1"/>
    </xf>
    <xf numFmtId="0" fontId="18" fillId="2" borderId="0" xfId="2" applyFont="1" applyFill="1" applyProtection="1">
      <alignment horizontal="left" vertical="center"/>
      <protection hidden="1"/>
    </xf>
    <xf numFmtId="0" fontId="19" fillId="2" borderId="0" xfId="2" applyFont="1" applyFill="1" applyProtection="1">
      <alignment horizontal="left" vertical="center"/>
      <protection hidden="1"/>
    </xf>
    <xf numFmtId="0" fontId="18" fillId="2" borderId="0" xfId="2" applyFont="1" applyFill="1" applyAlignment="1" applyProtection="1">
      <alignment horizontal="center" vertical="center"/>
      <protection hidden="1"/>
    </xf>
    <xf numFmtId="166" fontId="17" fillId="2" borderId="0" xfId="1" applyNumberFormat="1" applyFont="1" applyFill="1" applyAlignment="1" applyProtection="1">
      <alignment horizontal="left" vertical="center"/>
    </xf>
    <xf numFmtId="166" fontId="17" fillId="2" borderId="0" xfId="1" applyNumberFormat="1" applyFont="1" applyFill="1" applyBorder="1" applyAlignment="1" applyProtection="1">
      <alignment horizontal="left" vertical="center"/>
    </xf>
    <xf numFmtId="0" fontId="21" fillId="2" borderId="0" xfId="2" applyFont="1" applyFill="1" applyAlignment="1" applyProtection="1">
      <alignment horizontal="center" vertical="center"/>
      <protection hidden="1"/>
    </xf>
    <xf numFmtId="0" fontId="21" fillId="2" borderId="0" xfId="2" applyFont="1" applyFill="1" applyProtection="1">
      <alignment horizontal="left" vertical="center"/>
      <protection hidden="1"/>
    </xf>
    <xf numFmtId="0" fontId="18" fillId="2" borderId="8" xfId="2" applyFont="1" applyFill="1" applyBorder="1" applyAlignment="1">
      <alignment horizontal="center" vertical="center" wrapText="1"/>
    </xf>
    <xf numFmtId="0" fontId="19" fillId="2" borderId="8" xfId="2" applyFont="1" applyFill="1" applyBorder="1" applyAlignment="1">
      <alignment horizontal="centerContinuous" vertical="center" wrapText="1"/>
    </xf>
    <xf numFmtId="1" fontId="18" fillId="2" borderId="8" xfId="1" applyNumberFormat="1" applyFont="1" applyFill="1" applyBorder="1" applyAlignment="1" applyProtection="1">
      <alignment horizontal="center" vertical="center"/>
    </xf>
    <xf numFmtId="1" fontId="16" fillId="2" borderId="8" xfId="1" applyNumberFormat="1" applyFont="1" applyFill="1" applyBorder="1" applyAlignment="1" applyProtection="1">
      <alignment horizontal="center" vertical="center" wrapText="1"/>
    </xf>
    <xf numFmtId="0" fontId="18" fillId="2" borderId="8" xfId="2" applyFont="1" applyFill="1" applyBorder="1" applyAlignment="1">
      <alignment horizontal="left" vertical="center" wrapText="1"/>
    </xf>
    <xf numFmtId="0" fontId="22" fillId="2" borderId="8" xfId="2" applyFont="1" applyFill="1" applyBorder="1" applyAlignment="1">
      <alignment horizontal="left" vertical="center" wrapText="1"/>
    </xf>
    <xf numFmtId="0" fontId="17" fillId="2" borderId="8" xfId="2" applyFont="1" applyFill="1" applyBorder="1" applyAlignment="1">
      <alignment horizontal="center" vertical="center"/>
    </xf>
    <xf numFmtId="166" fontId="23" fillId="0" borderId="8" xfId="1" applyNumberFormat="1" applyFont="1" applyFill="1" applyBorder="1" applyAlignment="1" applyProtection="1">
      <alignment horizontal="left" vertical="center"/>
      <protection locked="0"/>
    </xf>
    <xf numFmtId="166" fontId="23" fillId="0" borderId="8" xfId="1" applyNumberFormat="1" applyFont="1" applyFill="1" applyBorder="1" applyAlignment="1" applyProtection="1">
      <alignment horizontal="center" vertical="center"/>
      <protection locked="0"/>
    </xf>
    <xf numFmtId="166" fontId="25" fillId="2" borderId="8" xfId="1" applyNumberFormat="1" applyFont="1" applyFill="1" applyBorder="1" applyAlignment="1" applyProtection="1">
      <alignment horizontal="left" vertical="center"/>
    </xf>
    <xf numFmtId="0" fontId="21" fillId="2" borderId="8" xfId="2" applyFont="1" applyFill="1" applyBorder="1" applyAlignment="1" applyProtection="1">
      <alignment horizontal="center" vertical="center"/>
      <protection hidden="1"/>
    </xf>
    <xf numFmtId="0" fontId="17" fillId="2" borderId="8" xfId="2" applyFont="1" applyFill="1" applyBorder="1" applyAlignment="1">
      <alignment horizontal="left" vertical="center" wrapText="1"/>
    </xf>
    <xf numFmtId="0" fontId="26" fillId="2" borderId="8" xfId="2" quotePrefix="1" applyFont="1" applyFill="1" applyBorder="1" applyAlignment="1">
      <alignment horizontal="center" vertical="center"/>
    </xf>
    <xf numFmtId="166" fontId="25" fillId="0" borderId="8" xfId="1" applyNumberFormat="1" applyFont="1" applyFill="1" applyBorder="1" applyAlignment="1" applyProtection="1">
      <alignment horizontal="left" vertical="center"/>
      <protection locked="0"/>
    </xf>
    <xf numFmtId="0" fontId="26" fillId="2" borderId="8" xfId="2" applyFont="1" applyFill="1" applyBorder="1" applyAlignment="1">
      <alignment horizontal="center" vertical="center"/>
    </xf>
    <xf numFmtId="166" fontId="25" fillId="0" borderId="8" xfId="1" applyNumberFormat="1" applyFont="1" applyFill="1" applyBorder="1" applyAlignment="1" applyProtection="1">
      <alignment horizontal="left" vertical="center" wrapText="1"/>
      <protection locked="0"/>
    </xf>
    <xf numFmtId="49" fontId="25" fillId="0" borderId="8" xfId="1" applyNumberFormat="1" applyFont="1" applyFill="1" applyBorder="1" applyAlignment="1" applyProtection="1">
      <alignment horizontal="left" vertical="center"/>
      <protection locked="0"/>
    </xf>
    <xf numFmtId="49" fontId="25" fillId="0" borderId="8" xfId="1" applyNumberFormat="1" applyFont="1" applyFill="1" applyBorder="1" applyAlignment="1" applyProtection="1">
      <alignment vertical="center"/>
      <protection locked="0"/>
    </xf>
    <xf numFmtId="0" fontId="17" fillId="2" borderId="8" xfId="2" applyFont="1" applyFill="1" applyBorder="1" applyAlignment="1">
      <alignment horizontal="justify" vertical="center" wrapText="1"/>
    </xf>
    <xf numFmtId="49" fontId="25" fillId="0" borderId="8" xfId="1" applyNumberFormat="1" applyFont="1" applyFill="1" applyBorder="1" applyAlignment="1" applyProtection="1">
      <alignment horizontal="left" vertical="center" wrapText="1"/>
      <protection locked="0"/>
    </xf>
    <xf numFmtId="0" fontId="21" fillId="2" borderId="8" xfId="2" applyFont="1" applyFill="1" applyBorder="1" applyAlignment="1">
      <alignment horizontal="left" vertical="center" wrapText="1"/>
    </xf>
    <xf numFmtId="0" fontId="21" fillId="2" borderId="8" xfId="2" applyFont="1" applyFill="1" applyBorder="1">
      <alignment horizontal="left" vertical="center"/>
    </xf>
    <xf numFmtId="0" fontId="27" fillId="2" borderId="8" xfId="2" applyFont="1" applyFill="1" applyBorder="1" applyAlignment="1">
      <alignment horizontal="left" vertical="center" wrapText="1"/>
    </xf>
    <xf numFmtId="0" fontId="18" fillId="2" borderId="8" xfId="2" applyFont="1" applyFill="1" applyBorder="1" applyAlignment="1">
      <alignment horizontal="center" vertical="center"/>
    </xf>
    <xf numFmtId="166" fontId="23" fillId="2" borderId="8" xfId="1" applyNumberFormat="1" applyFont="1" applyFill="1" applyBorder="1" applyAlignment="1" applyProtection="1">
      <alignment horizontal="left" vertical="center"/>
    </xf>
    <xf numFmtId="0" fontId="28" fillId="2" borderId="8" xfId="2" applyFont="1" applyFill="1" applyBorder="1">
      <alignment horizontal="left" vertical="center"/>
    </xf>
    <xf numFmtId="0" fontId="22" fillId="2" borderId="8" xfId="2" applyFont="1" applyFill="1" applyBorder="1">
      <alignment horizontal="left" vertical="center"/>
    </xf>
    <xf numFmtId="0" fontId="18" fillId="2" borderId="8" xfId="2" applyFont="1" applyFill="1" applyBorder="1">
      <alignment horizontal="left" vertical="center"/>
    </xf>
    <xf numFmtId="0" fontId="29" fillId="2" borderId="8" xfId="2" applyFont="1" applyFill="1" applyBorder="1" applyAlignment="1">
      <alignment horizontal="left" vertical="center" wrapText="1"/>
    </xf>
    <xf numFmtId="0" fontId="27" fillId="2" borderId="8" xfId="2" applyFont="1" applyFill="1" applyBorder="1">
      <alignment horizontal="left" vertical="center"/>
    </xf>
    <xf numFmtId="0" fontId="26" fillId="2" borderId="8" xfId="2" applyFont="1" applyFill="1" applyBorder="1">
      <alignment horizontal="left" vertical="center"/>
    </xf>
    <xf numFmtId="0" fontId="30" fillId="2" borderId="8" xfId="2" applyFont="1" applyFill="1" applyBorder="1" applyAlignment="1">
      <alignment horizontal="center" vertical="center"/>
    </xf>
    <xf numFmtId="0" fontId="17" fillId="2" borderId="8" xfId="2" applyFont="1" applyFill="1" applyBorder="1">
      <alignment horizontal="left" vertical="center"/>
    </xf>
    <xf numFmtId="0" fontId="26" fillId="2" borderId="8" xfId="2" applyFont="1" applyFill="1" applyBorder="1" applyAlignment="1">
      <alignment vertical="center"/>
    </xf>
    <xf numFmtId="166" fontId="18" fillId="2" borderId="8" xfId="1" applyNumberFormat="1" applyFont="1" applyFill="1" applyBorder="1" applyAlignment="1" applyProtection="1">
      <alignment horizontal="left" vertical="center"/>
    </xf>
    <xf numFmtId="0" fontId="7" fillId="2" borderId="0" xfId="2" applyFont="1" applyFill="1" applyProtection="1">
      <alignment horizontal="left" vertical="center"/>
      <protection hidden="1"/>
    </xf>
    <xf numFmtId="0" fontId="6" fillId="2" borderId="0" xfId="2" applyFont="1" applyFill="1" applyAlignment="1" applyProtection="1">
      <alignment horizontal="center" vertical="center"/>
      <protection hidden="1"/>
    </xf>
    <xf numFmtId="166" fontId="7" fillId="2" borderId="0" xfId="1" applyNumberFormat="1" applyFont="1" applyFill="1" applyAlignment="1" applyProtection="1">
      <alignment horizontal="left" vertical="center"/>
      <protection hidden="1"/>
    </xf>
    <xf numFmtId="166" fontId="7" fillId="2" borderId="0" xfId="1" applyNumberFormat="1" applyFont="1" applyFill="1" applyBorder="1" applyAlignment="1" applyProtection="1">
      <alignment horizontal="left" vertical="center"/>
      <protection hidden="1"/>
    </xf>
    <xf numFmtId="0" fontId="7" fillId="2" borderId="0" xfId="2" applyFont="1" applyFill="1" applyAlignment="1" applyProtection="1">
      <alignment horizontal="center" vertical="center"/>
      <protection hidden="1"/>
    </xf>
    <xf numFmtId="166" fontId="7" fillId="2" borderId="0" xfId="1" applyNumberFormat="1" applyFont="1" applyFill="1" applyBorder="1" applyAlignment="1" applyProtection="1">
      <alignment horizontal="center"/>
      <protection hidden="1"/>
    </xf>
    <xf numFmtId="0" fontId="6" fillId="2" borderId="8" xfId="2" applyFont="1" applyFill="1" applyBorder="1" applyAlignment="1" applyProtection="1">
      <alignment horizontal="center" vertical="center" wrapText="1"/>
      <protection hidden="1"/>
    </xf>
    <xf numFmtId="1" fontId="6" fillId="2" borderId="8" xfId="1" applyNumberFormat="1" applyFont="1" applyFill="1" applyBorder="1" applyAlignment="1" applyProtection="1">
      <alignment horizontal="center" vertical="center" wrapText="1"/>
      <protection hidden="1"/>
    </xf>
    <xf numFmtId="0" fontId="6" fillId="2" borderId="8" xfId="2" applyFont="1" applyFill="1" applyBorder="1" applyAlignment="1" applyProtection="1">
      <alignment horizontal="center" vertical="center" textRotation="90"/>
      <protection hidden="1"/>
    </xf>
    <xf numFmtId="0" fontId="7" fillId="2" borderId="8" xfId="2" applyFont="1" applyFill="1" applyBorder="1" applyAlignment="1" applyProtection="1">
      <alignment horizontal="center" vertical="center"/>
      <protection hidden="1"/>
    </xf>
    <xf numFmtId="166" fontId="7" fillId="0" borderId="8" xfId="1" applyNumberFormat="1" applyFont="1" applyFill="1" applyBorder="1" applyAlignment="1" applyProtection="1">
      <alignment horizontal="left" vertical="center"/>
      <protection locked="0"/>
    </xf>
    <xf numFmtId="166" fontId="7" fillId="2" borderId="8" xfId="1" applyNumberFormat="1" applyFont="1" applyFill="1" applyBorder="1" applyAlignment="1" applyProtection="1">
      <alignment horizontal="right" vertical="center"/>
      <protection hidden="1"/>
    </xf>
    <xf numFmtId="0" fontId="6" fillId="2" borderId="0" xfId="2" applyFont="1" applyFill="1" applyAlignment="1" applyProtection="1">
      <alignment horizontal="left" vertical="center" wrapText="1"/>
      <protection hidden="1"/>
    </xf>
    <xf numFmtId="166" fontId="7" fillId="2" borderId="0" xfId="1" applyNumberFormat="1" applyFont="1" applyFill="1" applyBorder="1" applyAlignment="1" applyProtection="1">
      <alignment horizontal="right" vertical="center"/>
      <protection hidden="1"/>
    </xf>
    <xf numFmtId="0" fontId="7" fillId="2" borderId="8" xfId="2" quotePrefix="1" applyFont="1" applyFill="1" applyBorder="1" applyAlignment="1" applyProtection="1">
      <alignment horizontal="center" vertical="center"/>
      <protection hidden="1"/>
    </xf>
    <xf numFmtId="0" fontId="6" fillId="2" borderId="0" xfId="2" applyFont="1" applyFill="1" applyAlignment="1" applyProtection="1">
      <alignment horizontal="center" vertical="center" wrapText="1"/>
      <protection hidden="1"/>
    </xf>
    <xf numFmtId="166" fontId="7" fillId="0" borderId="8" xfId="1" applyNumberFormat="1" applyFont="1" applyFill="1" applyBorder="1" applyAlignment="1" applyProtection="1">
      <alignment horizontal="right" vertical="center"/>
      <protection locked="0"/>
    </xf>
    <xf numFmtId="0" fontId="6" fillId="2" borderId="8" xfId="2" applyFont="1" applyFill="1" applyBorder="1" applyAlignment="1" applyProtection="1">
      <alignment horizontal="center" vertical="center"/>
      <protection hidden="1"/>
    </xf>
    <xf numFmtId="0" fontId="15" fillId="2" borderId="8" xfId="2" applyFont="1" applyFill="1" applyBorder="1" applyAlignment="1" applyProtection="1">
      <alignment horizontal="center" vertical="center" textRotation="90"/>
      <protection hidden="1"/>
    </xf>
    <xf numFmtId="0" fontId="31" fillId="2" borderId="8" xfId="0" applyFont="1" applyFill="1" applyBorder="1" applyAlignment="1" applyProtection="1">
      <alignment horizontal="left" vertical="center" wrapText="1"/>
      <protection hidden="1"/>
    </xf>
    <xf numFmtId="0" fontId="33" fillId="2" borderId="8" xfId="0" applyFont="1" applyFill="1" applyBorder="1" applyAlignment="1" applyProtection="1">
      <alignment horizontal="center" vertical="center" wrapText="1"/>
      <protection hidden="1"/>
    </xf>
    <xf numFmtId="0" fontId="33" fillId="2" borderId="8" xfId="0" applyFont="1" applyFill="1" applyBorder="1" applyAlignment="1" applyProtection="1">
      <alignment horizontal="left" vertical="center" wrapText="1"/>
      <protection hidden="1"/>
    </xf>
    <xf numFmtId="0" fontId="34" fillId="2" borderId="8" xfId="2" applyFont="1" applyFill="1" applyBorder="1" applyAlignment="1" applyProtection="1">
      <alignment horizontal="center" vertical="center"/>
      <protection hidden="1"/>
    </xf>
    <xf numFmtId="166" fontId="35" fillId="2" borderId="8" xfId="1" applyNumberFormat="1" applyFont="1" applyFill="1" applyBorder="1" applyAlignment="1" applyProtection="1">
      <alignment horizontal="right" vertical="center"/>
      <protection hidden="1"/>
    </xf>
    <xf numFmtId="1" fontId="2" fillId="0" borderId="9" xfId="0" applyNumberFormat="1" applyFont="1" applyBorder="1"/>
    <xf numFmtId="166" fontId="25" fillId="3" borderId="8" xfId="1" applyNumberFormat="1" applyFont="1" applyFill="1" applyBorder="1" applyAlignment="1" applyProtection="1">
      <alignment horizontal="left" vertical="center"/>
      <protection locked="0"/>
    </xf>
    <xf numFmtId="3" fontId="3" fillId="0" borderId="4" xfId="0" applyNumberFormat="1" applyFont="1" applyBorder="1"/>
    <xf numFmtId="0" fontId="22" fillId="4" borderId="8" xfId="2" applyFont="1" applyFill="1" applyBorder="1" applyAlignment="1">
      <alignment horizontal="left" vertical="center" wrapText="1"/>
    </xf>
    <xf numFmtId="0" fontId="21" fillId="4" borderId="8" xfId="2" applyFont="1" applyFill="1" applyBorder="1" applyAlignment="1">
      <alignment horizontal="left" vertical="center" wrapText="1"/>
    </xf>
    <xf numFmtId="0" fontId="22" fillId="5" borderId="8" xfId="2" applyFont="1" applyFill="1" applyBorder="1" applyAlignment="1">
      <alignment horizontal="left" vertical="center" wrapText="1"/>
    </xf>
    <xf numFmtId="0" fontId="21" fillId="4" borderId="8" xfId="2" applyFont="1" applyFill="1" applyBorder="1">
      <alignment horizontal="left" vertical="center"/>
    </xf>
    <xf numFmtId="3" fontId="3" fillId="0" borderId="6" xfId="0" applyNumberFormat="1" applyFont="1" applyBorder="1"/>
    <xf numFmtId="3" fontId="3" fillId="0" borderId="8" xfId="1" applyNumberFormat="1" applyFont="1" applyFill="1" applyBorder="1"/>
    <xf numFmtId="3" fontId="3" fillId="0" borderId="0" xfId="0" applyNumberFormat="1" applyFont="1"/>
    <xf numFmtId="0" fontId="3" fillId="0" borderId="47" xfId="0" applyFont="1" applyBorder="1"/>
    <xf numFmtId="0" fontId="3" fillId="0" borderId="48" xfId="0" applyFont="1" applyBorder="1"/>
    <xf numFmtId="0" fontId="3" fillId="0" borderId="49" xfId="0" applyFont="1" applyBorder="1"/>
    <xf numFmtId="14" fontId="2" fillId="0" borderId="50" xfId="0" applyNumberFormat="1" applyFont="1" applyBorder="1" applyAlignment="1">
      <alignment horizontal="center" wrapText="1"/>
    </xf>
    <xf numFmtId="14" fontId="2" fillId="0" borderId="51" xfId="0" applyNumberFormat="1" applyFont="1" applyBorder="1" applyAlignment="1">
      <alignment horizontal="center" wrapText="1"/>
    </xf>
    <xf numFmtId="0" fontId="4" fillId="0" borderId="52" xfId="0" applyFont="1" applyBorder="1" applyAlignment="1">
      <alignment horizontal="center" wrapText="1"/>
    </xf>
    <xf numFmtId="3" fontId="0" fillId="6" borderId="8" xfId="0" applyNumberFormat="1" applyFill="1" applyBorder="1" applyAlignment="1">
      <alignment vertical="center"/>
    </xf>
    <xf numFmtId="3" fontId="0" fillId="0" borderId="8" xfId="0" applyNumberFormat="1" applyBorder="1" applyAlignment="1">
      <alignment vertical="center"/>
    </xf>
    <xf numFmtId="3" fontId="37" fillId="6" borderId="8" xfId="0" applyNumberFormat="1" applyFont="1" applyFill="1" applyBorder="1" applyAlignment="1">
      <alignment vertical="center"/>
    </xf>
    <xf numFmtId="3" fontId="37" fillId="7" borderId="8" xfId="0" applyNumberFormat="1" applyFont="1" applyFill="1" applyBorder="1" applyAlignment="1">
      <alignment vertical="center"/>
    </xf>
    <xf numFmtId="0" fontId="6" fillId="2" borderId="53" xfId="2" applyFont="1" applyFill="1" applyBorder="1" applyAlignment="1" applyProtection="1">
      <alignment horizontal="center" vertical="center" wrapText="1"/>
      <protection hidden="1"/>
    </xf>
    <xf numFmtId="0" fontId="6" fillId="2" borderId="54" xfId="2" applyFont="1" applyFill="1" applyBorder="1" applyAlignment="1" applyProtection="1">
      <alignment horizontal="center" vertical="center" wrapText="1"/>
      <protection hidden="1"/>
    </xf>
    <xf numFmtId="0" fontId="6" fillId="2" borderId="55" xfId="2" applyFont="1" applyFill="1" applyBorder="1" applyAlignment="1" applyProtection="1">
      <alignment horizontal="center" vertical="center" wrapText="1"/>
      <protection hidden="1"/>
    </xf>
    <xf numFmtId="0" fontId="13" fillId="2" borderId="53" xfId="0" applyFont="1" applyFill="1" applyBorder="1" applyAlignment="1" applyProtection="1">
      <alignment horizontal="center" vertical="center"/>
      <protection hidden="1"/>
    </xf>
    <xf numFmtId="0" fontId="13" fillId="2" borderId="54" xfId="0" applyFont="1" applyFill="1" applyBorder="1" applyAlignment="1" applyProtection="1">
      <alignment horizontal="center" vertical="center"/>
      <protection hidden="1"/>
    </xf>
    <xf numFmtId="0" fontId="13" fillId="2" borderId="56" xfId="0" applyFont="1" applyFill="1" applyBorder="1" applyAlignment="1" applyProtection="1">
      <alignment horizontal="center" vertical="center"/>
      <protection hidden="1"/>
    </xf>
    <xf numFmtId="0" fontId="7" fillId="2" borderId="57" xfId="2" applyFont="1" applyFill="1" applyBorder="1" applyAlignment="1" applyProtection="1">
      <alignment horizontal="left" vertical="center" wrapText="1"/>
      <protection hidden="1"/>
    </xf>
    <xf numFmtId="0" fontId="7" fillId="2" borderId="58" xfId="2" applyFont="1" applyFill="1" applyBorder="1" applyAlignment="1" applyProtection="1">
      <alignment horizontal="left" vertical="center" wrapText="1"/>
      <protection hidden="1"/>
    </xf>
    <xf numFmtId="0" fontId="7" fillId="2" borderId="59" xfId="2" applyFont="1" applyFill="1" applyBorder="1" applyAlignment="1" applyProtection="1">
      <alignment horizontal="left" vertical="center" wrapText="1"/>
      <protection hidden="1"/>
    </xf>
    <xf numFmtId="0" fontId="13" fillId="2" borderId="55" xfId="0" applyFont="1" applyFill="1" applyBorder="1" applyAlignment="1" applyProtection="1">
      <alignment horizontal="center" vertical="center"/>
      <protection hidden="1"/>
    </xf>
    <xf numFmtId="0" fontId="7" fillId="0" borderId="0" xfId="2" applyFont="1" applyProtection="1">
      <alignment horizontal="left" vertical="center"/>
      <protection locked="0"/>
    </xf>
    <xf numFmtId="0" fontId="6" fillId="0" borderId="0" xfId="2" quotePrefix="1" applyFont="1" applyAlignment="1" applyProtection="1">
      <alignment horizontal="right" vertical="center"/>
      <protection locked="0"/>
    </xf>
    <xf numFmtId="0" fontId="6" fillId="0" borderId="0" xfId="2" applyFont="1" applyAlignment="1" applyProtection="1">
      <alignment horizontal="right" vertical="center"/>
      <protection locked="0"/>
    </xf>
    <xf numFmtId="0" fontId="6" fillId="2" borderId="60" xfId="2" applyFont="1" applyFill="1" applyBorder="1" applyAlignment="1" applyProtection="1">
      <alignment horizontal="center" vertical="center" wrapText="1"/>
      <protection hidden="1"/>
    </xf>
    <xf numFmtId="0" fontId="6" fillId="2" borderId="12" xfId="2" applyFont="1" applyFill="1" applyBorder="1" applyAlignment="1" applyProtection="1">
      <alignment horizontal="center" vertical="center" wrapText="1"/>
      <protection hidden="1"/>
    </xf>
    <xf numFmtId="0" fontId="6" fillId="2" borderId="61" xfId="2" applyFont="1" applyFill="1" applyBorder="1" applyAlignment="1" applyProtection="1">
      <alignment horizontal="center" vertical="center" wrapText="1"/>
      <protection hidden="1"/>
    </xf>
    <xf numFmtId="0" fontId="6" fillId="2" borderId="53" xfId="0" applyFont="1" applyFill="1" applyBorder="1" applyAlignment="1" applyProtection="1">
      <alignment horizontal="center" vertical="center" wrapText="1"/>
      <protection hidden="1"/>
    </xf>
    <xf numFmtId="0" fontId="6" fillId="2" borderId="54" xfId="0" applyFont="1" applyFill="1" applyBorder="1" applyAlignment="1" applyProtection="1">
      <alignment horizontal="center" vertical="center" wrapText="1"/>
      <protection hidden="1"/>
    </xf>
    <xf numFmtId="0" fontId="6" fillId="2" borderId="56" xfId="0" applyFont="1" applyFill="1" applyBorder="1" applyAlignment="1" applyProtection="1">
      <alignment horizontal="center" vertical="center" wrapText="1"/>
      <protection hidden="1"/>
    </xf>
    <xf numFmtId="0" fontId="7" fillId="2" borderId="62" xfId="2" applyFont="1" applyFill="1" applyBorder="1" applyAlignment="1" applyProtection="1">
      <alignment horizontal="left" vertical="center" wrapText="1"/>
      <protection hidden="1"/>
    </xf>
    <xf numFmtId="0" fontId="7" fillId="2" borderId="63" xfId="2" applyFont="1" applyFill="1" applyBorder="1" applyAlignment="1" applyProtection="1">
      <alignment horizontal="left" vertical="center" wrapText="1"/>
      <protection hidden="1"/>
    </xf>
    <xf numFmtId="0" fontId="7" fillId="2" borderId="64" xfId="2" applyFont="1" applyFill="1" applyBorder="1" applyAlignment="1" applyProtection="1">
      <alignment horizontal="left" vertical="center" wrapText="1"/>
      <protection hidden="1"/>
    </xf>
    <xf numFmtId="0" fontId="7" fillId="2" borderId="30" xfId="2" applyFont="1" applyFill="1" applyBorder="1" applyAlignment="1" applyProtection="1">
      <alignment horizontal="center" vertical="center" wrapText="1"/>
      <protection hidden="1"/>
    </xf>
    <xf numFmtId="0" fontId="7" fillId="2" borderId="65" xfId="2" applyFont="1" applyFill="1" applyBorder="1" applyAlignment="1" applyProtection="1">
      <alignment horizontal="center" vertical="center" wrapText="1"/>
      <protection hidden="1"/>
    </xf>
    <xf numFmtId="0" fontId="7" fillId="2" borderId="66" xfId="2" applyFont="1" applyFill="1" applyBorder="1" applyAlignment="1" applyProtection="1">
      <alignment horizontal="center" vertical="center" wrapText="1"/>
      <protection hidden="1"/>
    </xf>
    <xf numFmtId="0" fontId="7" fillId="2" borderId="22" xfId="2" applyFont="1" applyFill="1" applyBorder="1" applyAlignment="1" applyProtection="1">
      <alignment horizontal="left" vertical="center" wrapText="1"/>
      <protection hidden="1"/>
    </xf>
    <xf numFmtId="0" fontId="7" fillId="2" borderId="0" xfId="2" applyFont="1" applyFill="1" applyAlignment="1" applyProtection="1">
      <alignment horizontal="left" vertical="center" wrapText="1"/>
      <protection hidden="1"/>
    </xf>
    <xf numFmtId="0" fontId="7" fillId="2" borderId="23" xfId="2" applyFont="1" applyFill="1" applyBorder="1" applyAlignment="1" applyProtection="1">
      <alignment horizontal="left" vertical="center" wrapText="1"/>
      <protection hidden="1"/>
    </xf>
    <xf numFmtId="0" fontId="10" fillId="2" borderId="55" xfId="0" applyFont="1" applyFill="1" applyBorder="1" applyAlignment="1" applyProtection="1">
      <alignment horizontal="center" vertical="center" wrapText="1"/>
      <protection hidden="1"/>
    </xf>
    <xf numFmtId="0" fontId="6" fillId="2" borderId="65" xfId="2" applyFont="1" applyFill="1" applyBorder="1" applyAlignment="1" applyProtection="1">
      <alignment horizontal="center" vertical="center" wrapText="1"/>
      <protection hidden="1"/>
    </xf>
    <xf numFmtId="0" fontId="10" fillId="2" borderId="67" xfId="0" applyFont="1" applyFill="1" applyBorder="1" applyAlignment="1" applyProtection="1">
      <alignment horizontal="center" vertical="center" wrapText="1"/>
      <protection hidden="1"/>
    </xf>
    <xf numFmtId="0" fontId="7" fillId="0" borderId="30" xfId="2" applyFont="1" applyBorder="1" applyAlignment="1" applyProtection="1">
      <alignment horizontal="center" vertical="center" wrapText="1"/>
      <protection hidden="1"/>
    </xf>
    <xf numFmtId="0" fontId="7" fillId="0" borderId="65" xfId="2" applyFont="1" applyBorder="1" applyAlignment="1" applyProtection="1">
      <alignment horizontal="center" vertical="center" wrapText="1"/>
      <protection hidden="1"/>
    </xf>
    <xf numFmtId="0" fontId="7" fillId="0" borderId="66" xfId="2" applyFont="1" applyBorder="1" applyAlignment="1" applyProtection="1">
      <alignment horizontal="center" vertical="center" wrapText="1"/>
      <protection hidden="1"/>
    </xf>
    <xf numFmtId="0" fontId="7" fillId="0" borderId="57" xfId="2" applyFont="1" applyBorder="1" applyAlignment="1" applyProtection="1">
      <alignment horizontal="left" vertical="center" wrapText="1"/>
      <protection hidden="1"/>
    </xf>
    <xf numFmtId="0" fontId="7" fillId="0" borderId="58" xfId="2" applyFont="1" applyBorder="1" applyAlignment="1" applyProtection="1">
      <alignment horizontal="left" vertical="center" wrapText="1"/>
      <protection hidden="1"/>
    </xf>
    <xf numFmtId="0" fontId="7" fillId="0" borderId="59" xfId="2" applyFont="1" applyBorder="1" applyAlignment="1" applyProtection="1">
      <alignment horizontal="left" vertical="center" wrapText="1"/>
      <protection hidden="1"/>
    </xf>
    <xf numFmtId="167" fontId="6" fillId="2" borderId="68" xfId="1" applyNumberFormat="1" applyFont="1" applyFill="1" applyBorder="1" applyAlignment="1" applyProtection="1">
      <alignment horizontal="right" vertical="center" wrapText="1"/>
      <protection hidden="1"/>
    </xf>
    <xf numFmtId="0" fontId="10" fillId="2" borderId="28" xfId="0" applyFont="1" applyFill="1" applyBorder="1" applyAlignment="1" applyProtection="1">
      <alignment horizontal="right" vertical="center" wrapText="1"/>
      <protection hidden="1"/>
    </xf>
    <xf numFmtId="0" fontId="10" fillId="2" borderId="69" xfId="0" applyFont="1" applyFill="1" applyBorder="1" applyAlignment="1" applyProtection="1">
      <alignment horizontal="right" vertical="center" wrapText="1"/>
      <protection hidden="1"/>
    </xf>
    <xf numFmtId="166" fontId="6" fillId="2" borderId="70" xfId="1" applyNumberFormat="1" applyFont="1" applyFill="1" applyBorder="1" applyAlignment="1" applyProtection="1">
      <alignment horizontal="center" vertical="center" wrapText="1"/>
      <protection hidden="1"/>
    </xf>
    <xf numFmtId="0" fontId="10" fillId="2" borderId="71" xfId="0" applyFont="1" applyFill="1" applyBorder="1" applyAlignment="1" applyProtection="1">
      <alignment horizontal="center" vertical="center" wrapText="1"/>
      <protection hidden="1"/>
    </xf>
    <xf numFmtId="166" fontId="7" fillId="0" borderId="72" xfId="1" applyNumberFormat="1" applyFont="1" applyFill="1" applyBorder="1" applyAlignment="1" applyProtection="1">
      <alignment horizontal="center" vertical="center" wrapText="1"/>
      <protection locked="0"/>
    </xf>
    <xf numFmtId="166" fontId="7" fillId="0" borderId="73" xfId="1" applyNumberFormat="1" applyFont="1" applyFill="1" applyBorder="1" applyAlignment="1" applyProtection="1">
      <alignment horizontal="center" vertical="center" wrapText="1"/>
      <protection locked="0"/>
    </xf>
    <xf numFmtId="0" fontId="6" fillId="2" borderId="74" xfId="2" applyFont="1" applyFill="1" applyBorder="1" applyAlignment="1" applyProtection="1">
      <alignment horizontal="center" vertical="center" wrapText="1"/>
      <protection hidden="1"/>
    </xf>
    <xf numFmtId="0" fontId="6" fillId="2" borderId="75" xfId="2" applyFont="1" applyFill="1" applyBorder="1" applyAlignment="1" applyProtection="1">
      <alignment horizontal="center" vertical="center" wrapText="1"/>
      <protection hidden="1"/>
    </xf>
    <xf numFmtId="0" fontId="6" fillId="2" borderId="76" xfId="2" applyFont="1" applyFill="1" applyBorder="1" applyAlignment="1" applyProtection="1">
      <alignment horizontal="center" vertical="center" wrapText="1"/>
      <protection hidden="1"/>
    </xf>
    <xf numFmtId="0" fontId="6" fillId="2" borderId="77" xfId="2" applyFont="1" applyFill="1" applyBorder="1" applyAlignment="1" applyProtection="1">
      <alignment horizontal="center" vertical="center" wrapText="1"/>
      <protection hidden="1"/>
    </xf>
    <xf numFmtId="0" fontId="18" fillId="2" borderId="8" xfId="2" applyFont="1" applyFill="1" applyBorder="1" applyAlignment="1">
      <alignment horizontal="center" vertical="center" wrapText="1"/>
    </xf>
    <xf numFmtId="0" fontId="18" fillId="2" borderId="8" xfId="2" applyFont="1" applyFill="1" applyBorder="1" applyAlignment="1">
      <alignment horizontal="left" vertical="center" wrapText="1"/>
    </xf>
    <xf numFmtId="0" fontId="24" fillId="2" borderId="78" xfId="2" applyFont="1" applyFill="1" applyBorder="1" applyAlignment="1">
      <alignment horizontal="left" vertical="center" wrapText="1"/>
    </xf>
    <xf numFmtId="0" fontId="24" fillId="2" borderId="79" xfId="2" applyFont="1" applyFill="1" applyBorder="1" applyAlignment="1">
      <alignment horizontal="left" vertical="center" wrapText="1"/>
    </xf>
    <xf numFmtId="0" fontId="20" fillId="2" borderId="0" xfId="2" applyFont="1" applyFill="1" applyAlignment="1" applyProtection="1">
      <alignment horizontal="center" vertical="center" wrapText="1"/>
      <protection hidden="1"/>
    </xf>
    <xf numFmtId="0" fontId="18" fillId="2" borderId="0" xfId="2" applyFont="1" applyFill="1" applyAlignment="1" applyProtection="1">
      <alignment horizontal="center" vertical="center" wrapText="1"/>
      <protection hidden="1"/>
    </xf>
    <xf numFmtId="0" fontId="15" fillId="0" borderId="80" xfId="2" applyFont="1" applyBorder="1" applyAlignment="1" applyProtection="1">
      <alignment horizontal="left"/>
      <protection locked="0"/>
    </xf>
    <xf numFmtId="166" fontId="21" fillId="2" borderId="78" xfId="1" applyNumberFormat="1" applyFont="1" applyFill="1" applyBorder="1" applyAlignment="1" applyProtection="1">
      <alignment horizontal="right" vertical="center"/>
    </xf>
    <xf numFmtId="0" fontId="6" fillId="2" borderId="8" xfId="2" applyFont="1" applyFill="1" applyBorder="1" applyAlignment="1" applyProtection="1">
      <alignment horizontal="left" vertical="center" wrapText="1"/>
      <protection hidden="1"/>
    </xf>
    <xf numFmtId="0" fontId="8" fillId="2" borderId="0" xfId="2" applyFont="1" applyFill="1" applyAlignment="1" applyProtection="1">
      <alignment horizontal="center" vertical="center" wrapText="1"/>
      <protection hidden="1"/>
    </xf>
    <xf numFmtId="0" fontId="6" fillId="2" borderId="78" xfId="2" applyFont="1" applyFill="1" applyBorder="1" applyAlignment="1" applyProtection="1">
      <alignment horizontal="center" vertical="center" wrapText="1"/>
      <protection hidden="1"/>
    </xf>
    <xf numFmtId="0" fontId="6" fillId="2" borderId="8" xfId="2" applyFont="1" applyFill="1" applyBorder="1" applyAlignment="1" applyProtection="1">
      <alignment horizontal="center" vertical="center" wrapText="1"/>
      <protection hidden="1"/>
    </xf>
    <xf numFmtId="0" fontId="6" fillId="2" borderId="8" xfId="2" applyFont="1" applyFill="1" applyBorder="1" applyAlignment="1" applyProtection="1">
      <alignment horizontal="center" vertical="center" textRotation="90"/>
      <protection hidden="1"/>
    </xf>
    <xf numFmtId="0" fontId="7" fillId="2" borderId="8" xfId="2" applyFont="1" applyFill="1" applyBorder="1" applyAlignment="1" applyProtection="1">
      <alignment horizontal="left" vertical="center" wrapText="1"/>
      <protection hidden="1"/>
    </xf>
  </cellXfs>
  <cellStyles count="4">
    <cellStyle name="Ezres" xfId="1" builtinId="3"/>
    <cellStyle name="Normál" xfId="0" builtinId="0"/>
    <cellStyle name="Normál_MUNKALAP" xfId="2" xr:uid="{1AAFD7DD-ED60-7F46-B134-64F99C0F6FAC}"/>
    <cellStyle name="Százalék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2010/M13-06.xls" TargetMode="External"/><Relationship Id="rId1" Type="http://schemas.openxmlformats.org/officeDocument/2006/relationships/externalLinkPath" Target="/2010/M13-06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2010/M13-03.xls" TargetMode="External"/><Relationship Id="rId1" Type="http://schemas.openxmlformats.org/officeDocument/2006/relationships/externalLinkPath" Target="/2010/M13-03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2010/M13-04.xls" TargetMode="External"/><Relationship Id="rId1" Type="http://schemas.openxmlformats.org/officeDocument/2006/relationships/externalLinkPath" Target="/2010/M13-0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J-HIP"/>
      <sheetName val="Hivatkozasok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M13-03"/>
      <sheetName val="Hivatkozasok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J-TAO"/>
      <sheetName val="Hivatkozasok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948F70-1379-D94F-AAA9-6271662BD16C}">
  <sheetPr>
    <pageSetUpPr fitToPage="1"/>
  </sheetPr>
  <dimension ref="A1:Z43"/>
  <sheetViews>
    <sheetView tabSelected="1" view="pageBreakPreview" zoomScale="88" zoomScaleNormal="100" workbookViewId="0">
      <selection activeCell="L8" sqref="L8"/>
    </sheetView>
  </sheetViews>
  <sheetFormatPr baseColWidth="10" defaultColWidth="9.1640625" defaultRowHeight="13"/>
  <cols>
    <col min="1" max="1" width="36" style="1" customWidth="1"/>
    <col min="2" max="2" width="16.1640625" style="2" customWidth="1"/>
    <col min="3" max="4" width="16" style="2" customWidth="1"/>
    <col min="5" max="5" width="16.1640625" style="2" customWidth="1"/>
    <col min="6" max="7" width="16" style="2" customWidth="1"/>
    <col min="8" max="8" width="16" style="2" hidden="1" customWidth="1"/>
    <col min="9" max="9" width="13.5" style="2" hidden="1" customWidth="1"/>
    <col min="10" max="10" width="13.1640625" style="2" hidden="1" customWidth="1"/>
    <col min="11" max="11" width="15.83203125" style="2" hidden="1" customWidth="1"/>
    <col min="12" max="13" width="9.1640625" style="2"/>
    <col min="14" max="14" width="16.5" style="2" hidden="1" customWidth="1"/>
    <col min="15" max="18" width="0" style="2" hidden="1" customWidth="1"/>
    <col min="19" max="19" width="12.33203125" style="2" hidden="1" customWidth="1"/>
    <col min="20" max="20" width="0" style="2" hidden="1" customWidth="1"/>
    <col min="21" max="16384" width="9.1640625" style="2"/>
  </cols>
  <sheetData>
    <row r="1" spans="1:23" ht="33" customHeight="1" thickBot="1">
      <c r="A1" s="4" t="s">
        <v>230</v>
      </c>
      <c r="K1" s="2" t="s">
        <v>15</v>
      </c>
    </row>
    <row r="2" spans="1:23" s="4" customFormat="1" ht="62.25" customHeight="1" thickBot="1">
      <c r="A2" s="3"/>
      <c r="B2" s="166" t="s">
        <v>237</v>
      </c>
      <c r="C2" s="167" t="s">
        <v>238</v>
      </c>
      <c r="D2" s="167" t="s">
        <v>239</v>
      </c>
      <c r="E2" s="166" t="s">
        <v>240</v>
      </c>
      <c r="F2" s="167" t="s">
        <v>241</v>
      </c>
      <c r="G2" s="167" t="s">
        <v>242</v>
      </c>
      <c r="H2" s="167" t="s">
        <v>233</v>
      </c>
      <c r="I2" s="167" t="s">
        <v>234</v>
      </c>
      <c r="J2" s="167" t="s">
        <v>231</v>
      </c>
      <c r="K2" s="168" t="s">
        <v>235</v>
      </c>
    </row>
    <row r="3" spans="1:23" ht="17" thickBot="1">
      <c r="A3" s="5"/>
      <c r="B3" s="6"/>
      <c r="C3" s="6"/>
      <c r="D3" s="6"/>
      <c r="E3" s="163"/>
      <c r="F3" s="163"/>
      <c r="G3" s="163"/>
      <c r="H3" s="163"/>
      <c r="I3" s="163"/>
      <c r="J3" s="164"/>
      <c r="K3" s="165"/>
      <c r="M3" s="4"/>
      <c r="N3" s="4"/>
      <c r="O3" s="4"/>
      <c r="P3" s="4"/>
      <c r="Q3" s="4"/>
      <c r="R3" s="4"/>
      <c r="S3" s="4"/>
      <c r="T3" s="4"/>
      <c r="U3" s="4"/>
      <c r="V3" s="4"/>
    </row>
    <row r="4" spans="1:23" s="1" customFormat="1" ht="22.5" customHeight="1">
      <c r="A4" s="83" t="s">
        <v>0</v>
      </c>
      <c r="B4" s="7">
        <v>10202</v>
      </c>
      <c r="C4" s="7">
        <v>182972</v>
      </c>
      <c r="D4" s="7">
        <v>193174</v>
      </c>
      <c r="E4" s="7">
        <v>1822</v>
      </c>
      <c r="F4" s="7">
        <f>170198+28207-E4</f>
        <v>196583</v>
      </c>
      <c r="G4" s="7">
        <f>+E4+F4</f>
        <v>198405</v>
      </c>
      <c r="H4" s="7">
        <v>0</v>
      </c>
      <c r="I4" s="7">
        <v>0</v>
      </c>
      <c r="J4" s="8">
        <v>0</v>
      </c>
      <c r="K4" s="9">
        <f>SUM(G4:J4)</f>
        <v>198405</v>
      </c>
      <c r="M4" s="4"/>
      <c r="N4" s="4"/>
      <c r="O4" s="4"/>
      <c r="P4" s="4"/>
      <c r="Q4" s="4"/>
      <c r="R4" s="4"/>
      <c r="S4" s="4"/>
      <c r="T4" s="4"/>
      <c r="U4" s="4"/>
      <c r="V4" s="4"/>
      <c r="W4" s="2"/>
    </row>
    <row r="5" spans="1:23" ht="16">
      <c r="A5" s="10"/>
      <c r="B5" s="12"/>
      <c r="C5" s="12" t="s">
        <v>14</v>
      </c>
      <c r="D5" s="12"/>
      <c r="E5" s="12"/>
      <c r="F5" s="12" t="s">
        <v>14</v>
      </c>
      <c r="G5" s="12"/>
      <c r="H5" s="12"/>
      <c r="I5" s="11"/>
      <c r="J5" s="13"/>
      <c r="K5" s="14"/>
      <c r="M5" s="4"/>
      <c r="N5" s="4"/>
      <c r="O5" s="4"/>
      <c r="P5" s="4"/>
      <c r="Q5" s="4"/>
      <c r="R5" s="4"/>
      <c r="S5" s="4"/>
      <c r="T5" s="4"/>
      <c r="U5" s="4"/>
      <c r="V5" s="4"/>
    </row>
    <row r="6" spans="1:23" s="1" customFormat="1" ht="16">
      <c r="A6" s="10" t="s">
        <v>1</v>
      </c>
      <c r="B6" s="15">
        <v>6449</v>
      </c>
      <c r="C6" s="15">
        <v>212781</v>
      </c>
      <c r="D6" s="7">
        <v>219230</v>
      </c>
      <c r="E6" s="15">
        <v>5710</v>
      </c>
      <c r="F6" s="15">
        <f>268034-E6</f>
        <v>262324</v>
      </c>
      <c r="G6" s="7">
        <f>+E6+F6</f>
        <v>268034</v>
      </c>
      <c r="H6" s="7">
        <v>0</v>
      </c>
      <c r="I6" s="7">
        <v>0</v>
      </c>
      <c r="J6" s="16">
        <v>0</v>
      </c>
      <c r="K6" s="9">
        <f>SUM(G6:J6)</f>
        <v>268034</v>
      </c>
      <c r="M6" s="4"/>
      <c r="N6" s="4"/>
      <c r="O6" s="4"/>
      <c r="P6" s="4"/>
      <c r="Q6" s="4"/>
      <c r="R6" s="4"/>
      <c r="S6" s="4"/>
      <c r="T6" s="4"/>
      <c r="U6" s="4"/>
      <c r="V6" s="4"/>
      <c r="W6" s="2"/>
    </row>
    <row r="7" spans="1:23" ht="16">
      <c r="A7" s="10"/>
      <c r="B7" s="12"/>
      <c r="C7" s="12" t="s">
        <v>14</v>
      </c>
      <c r="D7" s="12"/>
      <c r="E7" s="12"/>
      <c r="F7" s="12" t="s">
        <v>14</v>
      </c>
      <c r="G7" s="12"/>
      <c r="H7" s="12"/>
      <c r="I7" s="11"/>
      <c r="J7" s="13"/>
      <c r="K7" s="14"/>
      <c r="L7" s="2">
        <f>+(F4+F6+I4+I6)/(K4+K6)</f>
        <v>0.98385212214244522</v>
      </c>
      <c r="M7" s="4"/>
      <c r="N7" s="4"/>
      <c r="O7" s="4"/>
      <c r="P7" s="4"/>
      <c r="Q7" s="4"/>
      <c r="R7" s="4"/>
      <c r="S7" s="4"/>
      <c r="T7" s="4"/>
      <c r="U7" s="4"/>
      <c r="V7" s="4"/>
    </row>
    <row r="8" spans="1:23" ht="16">
      <c r="A8" s="10" t="s">
        <v>2</v>
      </c>
      <c r="B8" s="12">
        <v>0</v>
      </c>
      <c r="C8" s="12">
        <v>0</v>
      </c>
      <c r="D8" s="7">
        <v>0</v>
      </c>
      <c r="E8" s="12">
        <v>0</v>
      </c>
      <c r="F8" s="15">
        <v>3217</v>
      </c>
      <c r="G8" s="7">
        <f>+E8+F8</f>
        <v>3217</v>
      </c>
      <c r="H8" s="12"/>
      <c r="I8" s="11">
        <v>0</v>
      </c>
      <c r="J8" s="13">
        <v>0</v>
      </c>
      <c r="K8" s="9">
        <f>SUM(G8:J8)</f>
        <v>3217</v>
      </c>
      <c r="L8" s="2">
        <f>1-L7</f>
        <v>1.6147877857554782E-2</v>
      </c>
      <c r="M8" s="4"/>
      <c r="N8" s="4"/>
      <c r="O8" s="4"/>
      <c r="P8" s="4"/>
      <c r="Q8" s="4"/>
      <c r="R8" s="4"/>
      <c r="S8" s="4"/>
      <c r="T8" s="4"/>
      <c r="U8" s="4"/>
      <c r="V8" s="4"/>
    </row>
    <row r="9" spans="1:23" ht="16">
      <c r="A9" s="18"/>
      <c r="B9" s="12"/>
      <c r="C9" s="20" t="s">
        <v>14</v>
      </c>
      <c r="D9" s="20"/>
      <c r="E9" s="12"/>
      <c r="F9" s="20" t="s">
        <v>14</v>
      </c>
      <c r="G9" s="20"/>
      <c r="H9" s="20"/>
      <c r="I9" s="11"/>
      <c r="J9" s="13"/>
      <c r="K9" s="14"/>
      <c r="M9" s="4"/>
      <c r="N9" s="4"/>
      <c r="O9" s="4"/>
      <c r="P9" s="4"/>
      <c r="Q9" s="4"/>
      <c r="R9" s="4"/>
      <c r="S9" s="4"/>
      <c r="T9" s="4"/>
      <c r="U9" s="4"/>
      <c r="V9" s="4"/>
    </row>
    <row r="10" spans="1:23" ht="16">
      <c r="A10" s="10" t="s">
        <v>3</v>
      </c>
      <c r="B10" s="15">
        <v>-8877.0536000000011</v>
      </c>
      <c r="C10" s="15">
        <v>-143587.94639999999</v>
      </c>
      <c r="D10" s="15">
        <v>-152465</v>
      </c>
      <c r="E10" s="15">
        <f>SUM(E11:E14)</f>
        <v>-2790.4495999999999</v>
      </c>
      <c r="F10" s="15">
        <f>SUM(F11:F14)</f>
        <v>-134138.55040000001</v>
      </c>
      <c r="G10" s="7">
        <f>+E10+F10</f>
        <v>-136929</v>
      </c>
      <c r="H10" s="15">
        <f>SUM(H11:H14)</f>
        <v>0</v>
      </c>
      <c r="I10" s="15">
        <f>SUM(I11:I14)</f>
        <v>0</v>
      </c>
      <c r="J10" s="15">
        <f>SUM(J11:J14)</f>
        <v>0</v>
      </c>
      <c r="K10" s="9">
        <f>SUM(G10:J10)</f>
        <v>-136929</v>
      </c>
      <c r="M10" s="4"/>
      <c r="N10" s="4"/>
      <c r="O10" s="4"/>
      <c r="P10" s="4"/>
      <c r="Q10" s="4"/>
      <c r="R10" s="4"/>
      <c r="S10" s="4"/>
      <c r="T10" s="4"/>
      <c r="U10" s="4"/>
      <c r="V10" s="4"/>
    </row>
    <row r="11" spans="1:23" ht="16">
      <c r="A11" s="82" t="s">
        <v>54</v>
      </c>
      <c r="B11" s="161">
        <v>-5356.8860000000004</v>
      </c>
      <c r="C11" s="26">
        <v>-122595.114</v>
      </c>
      <c r="D11" s="155">
        <v>-127952</v>
      </c>
      <c r="E11" s="161">
        <f>-203-127159*0.0161</f>
        <v>-2250.2599</v>
      </c>
      <c r="F11" s="26">
        <f>-127159-E11</f>
        <v>-124908.7401</v>
      </c>
      <c r="G11" s="155">
        <f>+E11+F11</f>
        <v>-127159</v>
      </c>
      <c r="H11" s="155">
        <v>0</v>
      </c>
      <c r="I11" s="155">
        <v>0</v>
      </c>
      <c r="J11" s="12">
        <v>0</v>
      </c>
      <c r="K11" s="160">
        <f>SUM(G11:J11)</f>
        <v>-127159</v>
      </c>
      <c r="M11" s="4"/>
      <c r="N11" s="4"/>
      <c r="O11" s="4"/>
      <c r="P11" s="4"/>
      <c r="Q11" s="4"/>
      <c r="R11" s="4"/>
      <c r="S11" s="4"/>
      <c r="T11" s="4"/>
      <c r="U11" s="4"/>
      <c r="V11" s="4"/>
    </row>
    <row r="12" spans="1:23" ht="16">
      <c r="A12" s="82" t="s">
        <v>55</v>
      </c>
      <c r="B12" s="26">
        <v>-2951</v>
      </c>
      <c r="C12" s="12">
        <v>-478</v>
      </c>
      <c r="D12" s="155">
        <v>-3429</v>
      </c>
      <c r="E12" s="26">
        <v>0</v>
      </c>
      <c r="F12" s="12">
        <v>-193</v>
      </c>
      <c r="G12" s="155">
        <f>+E12+F12</f>
        <v>-193</v>
      </c>
      <c r="H12" s="155">
        <v>0</v>
      </c>
      <c r="I12" s="155">
        <v>0</v>
      </c>
      <c r="J12" s="12">
        <v>0</v>
      </c>
      <c r="K12" s="160">
        <f>SUM(G12:J12)</f>
        <v>-193</v>
      </c>
      <c r="M12" s="4"/>
      <c r="N12" s="4"/>
      <c r="O12" s="4"/>
      <c r="P12" s="4"/>
      <c r="Q12" s="4"/>
      <c r="R12" s="4"/>
      <c r="S12" s="4"/>
      <c r="T12" s="4"/>
      <c r="U12" s="4"/>
      <c r="V12" s="4"/>
    </row>
    <row r="13" spans="1:23" ht="16">
      <c r="A13" s="82" t="s">
        <v>56</v>
      </c>
      <c r="B13" s="26">
        <v>-432.75560000000002</v>
      </c>
      <c r="C13" s="26">
        <v>-17621.2444</v>
      </c>
      <c r="D13" s="155">
        <v>-18054</v>
      </c>
      <c r="E13" s="161">
        <f>-386-6203*0.0161</f>
        <v>-485.86829999999998</v>
      </c>
      <c r="F13" s="161">
        <f>-6203-E13</f>
        <v>-5717.1316999999999</v>
      </c>
      <c r="G13" s="155">
        <f>+E13+F13</f>
        <v>-6203</v>
      </c>
      <c r="H13" s="155">
        <v>0</v>
      </c>
      <c r="I13" s="155">
        <v>0</v>
      </c>
      <c r="J13" s="12">
        <v>0</v>
      </c>
      <c r="K13" s="160">
        <f>SUM(G13:J13)</f>
        <v>-6203</v>
      </c>
      <c r="M13" s="4"/>
      <c r="N13" s="4"/>
      <c r="O13" s="4"/>
      <c r="P13" s="4"/>
      <c r="Q13" s="4"/>
      <c r="R13" s="4"/>
      <c r="S13" s="4"/>
      <c r="T13" s="4"/>
      <c r="U13" s="4"/>
      <c r="V13" s="4"/>
    </row>
    <row r="14" spans="1:23" ht="16">
      <c r="A14" s="82" t="s">
        <v>57</v>
      </c>
      <c r="B14" s="26">
        <v>-136.41199999999998</v>
      </c>
      <c r="C14" s="26">
        <v>-2893.5880000000002</v>
      </c>
      <c r="D14" s="155">
        <v>-3030</v>
      </c>
      <c r="E14" s="26">
        <f>-3374*0.0161</f>
        <v>-54.321399999999997</v>
      </c>
      <c r="F14" s="26">
        <f>-3374-+E14</f>
        <v>-3319.6786000000002</v>
      </c>
      <c r="G14" s="155">
        <f>+E14+F14</f>
        <v>-3374</v>
      </c>
      <c r="H14" s="155">
        <v>0</v>
      </c>
      <c r="I14" s="155">
        <v>0</v>
      </c>
      <c r="J14" s="12">
        <v>0</v>
      </c>
      <c r="K14" s="160">
        <f>SUM(G14:J14)</f>
        <v>-3374</v>
      </c>
      <c r="M14" s="4"/>
      <c r="N14" s="4"/>
      <c r="O14" s="4"/>
      <c r="P14" s="4"/>
      <c r="Q14" s="4"/>
      <c r="R14" s="4"/>
      <c r="S14" s="4"/>
      <c r="T14" s="4"/>
      <c r="U14" s="4"/>
      <c r="V14" s="4"/>
    </row>
    <row r="15" spans="1:23" ht="16">
      <c r="A15" s="82"/>
      <c r="B15" s="27" t="s">
        <v>14</v>
      </c>
      <c r="C15" s="27"/>
      <c r="D15" s="27"/>
      <c r="E15" s="27" t="s">
        <v>14</v>
      </c>
      <c r="F15" s="27"/>
      <c r="G15" s="27"/>
      <c r="H15" s="27"/>
      <c r="I15" s="11"/>
      <c r="J15" s="13"/>
      <c r="K15" s="14"/>
      <c r="M15" s="4"/>
      <c r="N15" s="4"/>
      <c r="O15" s="4"/>
      <c r="P15" s="4"/>
      <c r="Q15" s="4"/>
      <c r="R15" s="4"/>
      <c r="S15" s="4"/>
      <c r="T15" s="4"/>
      <c r="U15" s="4"/>
      <c r="V15" s="4"/>
      <c r="W15" s="162" t="s">
        <v>14</v>
      </c>
    </row>
    <row r="16" spans="1:23" ht="16">
      <c r="A16" s="10" t="s">
        <v>4</v>
      </c>
      <c r="B16" s="26">
        <v>-4792.7484000000004</v>
      </c>
      <c r="C16" s="26">
        <v>-225945.25159999999</v>
      </c>
      <c r="D16" s="155">
        <v>-230738</v>
      </c>
      <c r="E16" s="161">
        <f>-1752-249254*0.0161</f>
        <v>-5764.9894000000004</v>
      </c>
      <c r="F16" s="161">
        <f>-210546-15087-23621-E16</f>
        <v>-243489.01060000001</v>
      </c>
      <c r="G16" s="155">
        <f>+E16+F16</f>
        <v>-249254</v>
      </c>
      <c r="H16" s="155">
        <v>0</v>
      </c>
      <c r="I16" s="155">
        <v>0</v>
      </c>
      <c r="J16" s="12">
        <v>0</v>
      </c>
      <c r="K16" s="160">
        <f>SUM(G16:J16)</f>
        <v>-249254</v>
      </c>
      <c r="M16" s="4"/>
      <c r="N16" s="161">
        <f>-33162*0.0284</f>
        <v>-941.80080000000009</v>
      </c>
      <c r="O16" s="161">
        <v>-33162</v>
      </c>
      <c r="Q16" s="2">
        <v>33162</v>
      </c>
      <c r="S16" s="171">
        <f>-79644+5400+6460+615121-240000-283600+2400+50390+255000+67000+2447+24277</f>
        <v>425251</v>
      </c>
      <c r="U16" s="2">
        <f>+F16/(F4+F6)</f>
        <v>-0.530584651356375</v>
      </c>
      <c r="V16" s="4"/>
      <c r="W16" s="162" t="s">
        <v>14</v>
      </c>
    </row>
    <row r="17" spans="1:26" ht="16">
      <c r="A17" s="18"/>
      <c r="B17" s="161" t="s">
        <v>14</v>
      </c>
      <c r="C17" s="12" t="s">
        <v>14</v>
      </c>
      <c r="D17" s="12"/>
      <c r="E17" s="161" t="s">
        <v>14</v>
      </c>
      <c r="F17" s="161" t="s">
        <v>14</v>
      </c>
      <c r="G17" s="12"/>
      <c r="H17" s="12"/>
      <c r="I17" s="11"/>
      <c r="J17" s="13"/>
      <c r="K17" s="14"/>
      <c r="M17" s="4"/>
      <c r="N17" s="161" t="s">
        <v>14</v>
      </c>
      <c r="O17" s="161" t="s">
        <v>14</v>
      </c>
      <c r="S17" s="170"/>
      <c r="V17" s="4"/>
      <c r="W17" s="162" t="s">
        <v>14</v>
      </c>
    </row>
    <row r="18" spans="1:26" ht="16">
      <c r="A18" s="10" t="s">
        <v>5</v>
      </c>
      <c r="B18" s="26">
        <v>-509.5652</v>
      </c>
      <c r="C18" s="26">
        <v>-12103.434799999999</v>
      </c>
      <c r="D18" s="155">
        <v>-12613</v>
      </c>
      <c r="E18" s="26">
        <f>-30456*0.0161</f>
        <v>-490.34159999999997</v>
      </c>
      <c r="F18" s="26">
        <f>-30456-E18</f>
        <v>-29965.6584</v>
      </c>
      <c r="G18" s="155">
        <f>+E18+F18</f>
        <v>-30456</v>
      </c>
      <c r="H18" s="155">
        <v>0</v>
      </c>
      <c r="I18" s="155">
        <v>0</v>
      </c>
      <c r="J18" s="23">
        <v>0</v>
      </c>
      <c r="K18" s="160">
        <f>SUM(G18:J18)</f>
        <v>-30456</v>
      </c>
      <c r="M18" s="4"/>
      <c r="N18" s="26">
        <f>-8305*0.0284</f>
        <v>-235.86200000000002</v>
      </c>
      <c r="O18" s="26">
        <f>-8305</f>
        <v>-8305</v>
      </c>
      <c r="Q18" s="2">
        <v>8305</v>
      </c>
      <c r="R18" s="2">
        <v>8305</v>
      </c>
      <c r="S18" s="169">
        <v>1895964</v>
      </c>
      <c r="V18" s="4"/>
      <c r="W18" s="162" t="s">
        <v>14</v>
      </c>
    </row>
    <row r="19" spans="1:26" ht="16">
      <c r="A19" s="10"/>
      <c r="B19" s="12"/>
      <c r="C19" s="12" t="s">
        <v>14</v>
      </c>
      <c r="D19" s="12"/>
      <c r="E19" s="12"/>
      <c r="F19" s="26" t="s">
        <v>14</v>
      </c>
      <c r="G19" s="12"/>
      <c r="H19" s="12"/>
      <c r="I19" s="11"/>
      <c r="J19" s="13"/>
      <c r="K19" s="14"/>
      <c r="M19" s="4"/>
      <c r="N19" s="12"/>
      <c r="O19" s="12"/>
      <c r="S19" s="172">
        <v>1298432</v>
      </c>
      <c r="V19" s="4"/>
      <c r="W19" s="162" t="s">
        <v>14</v>
      </c>
    </row>
    <row r="20" spans="1:26" ht="16">
      <c r="A20" s="10" t="s">
        <v>6</v>
      </c>
      <c r="B20" s="26">
        <v>-848.79279999999994</v>
      </c>
      <c r="C20" s="26">
        <v>-17989.207200000001</v>
      </c>
      <c r="D20" s="155">
        <v>-18838</v>
      </c>
      <c r="E20" s="26">
        <f>-25273*0.0161</f>
        <v>-406.89530000000002</v>
      </c>
      <c r="F20" s="26">
        <f>-25273-E20</f>
        <v>-24866.1047</v>
      </c>
      <c r="G20" s="155">
        <f>+E20+F20</f>
        <v>-25273</v>
      </c>
      <c r="H20" s="155">
        <v>0</v>
      </c>
      <c r="I20" s="155">
        <v>0</v>
      </c>
      <c r="J20" s="21">
        <v>0</v>
      </c>
      <c r="K20" s="160">
        <f>SUM(G20:J20)</f>
        <v>-25273</v>
      </c>
      <c r="M20" s="4"/>
      <c r="N20" s="26">
        <f>-8082*0.0284</f>
        <v>-229.52880000000002</v>
      </c>
      <c r="O20" s="26">
        <v>-8082</v>
      </c>
      <c r="Q20" s="2">
        <f>7760+255+67+1</f>
        <v>8083</v>
      </c>
      <c r="S20" s="170"/>
      <c r="V20" s="4"/>
      <c r="W20" s="162" t="s">
        <v>14</v>
      </c>
    </row>
    <row r="21" spans="1:26" ht="16">
      <c r="A21" s="82" t="s">
        <v>227</v>
      </c>
      <c r="B21" s="12"/>
      <c r="C21" s="12"/>
      <c r="D21" s="12"/>
      <c r="E21" s="12"/>
      <c r="F21" s="12"/>
      <c r="G21" s="12"/>
      <c r="H21" s="12"/>
      <c r="I21" s="12"/>
      <c r="J21" s="21"/>
      <c r="K21" s="19"/>
      <c r="M21" s="4"/>
      <c r="N21" s="12"/>
      <c r="S21" s="169">
        <v>283600</v>
      </c>
      <c r="V21" s="4"/>
      <c r="W21" s="162" t="s">
        <v>14</v>
      </c>
    </row>
    <row r="22" spans="1:26">
      <c r="A22" s="10"/>
      <c r="B22" s="12"/>
      <c r="C22" s="12" t="s">
        <v>14</v>
      </c>
      <c r="D22" s="12"/>
      <c r="E22" s="12"/>
      <c r="F22" s="12" t="s">
        <v>14</v>
      </c>
      <c r="G22" s="12"/>
      <c r="H22" s="12"/>
      <c r="I22" s="11"/>
      <c r="J22" s="13"/>
      <c r="K22" s="14"/>
      <c r="N22" s="12"/>
      <c r="S22" s="169">
        <f>4*60000</f>
        <v>240000</v>
      </c>
    </row>
    <row r="23" spans="1:26" s="1" customFormat="1" ht="16">
      <c r="A23" s="84" t="s">
        <v>7</v>
      </c>
      <c r="B23" s="15">
        <v>1622.8399999999986</v>
      </c>
      <c r="C23" s="15">
        <v>-3872.8399999999747</v>
      </c>
      <c r="D23" s="15">
        <v>-2249.9999999999764</v>
      </c>
      <c r="E23" s="15">
        <f>+E4+E6+E10+E8+E16+E18+E20</f>
        <v>-1920.6759000000002</v>
      </c>
      <c r="F23" s="15">
        <f>+F4+F6+F10+F8+F16+F18+F20</f>
        <v>29664.675899999984</v>
      </c>
      <c r="G23" s="7">
        <f>+E23+F23</f>
        <v>27743.999999999985</v>
      </c>
      <c r="H23" s="15">
        <f>+H4+H6+H10+H8+H16+H18+H20</f>
        <v>0</v>
      </c>
      <c r="I23" s="15">
        <f>+I4+I6+I10+I8+I16+I18+I20</f>
        <v>0</v>
      </c>
      <c r="J23" s="15">
        <f>+J4+J6+J10+J8+J16+J18+J20</f>
        <v>0</v>
      </c>
      <c r="K23" s="9">
        <f>SUM(G23:J23)</f>
        <v>27743.999999999985</v>
      </c>
      <c r="L23" s="2"/>
      <c r="M23" s="2"/>
      <c r="N23" s="15">
        <f>+N4+N6+N10+N8+N16+N18+N20</f>
        <v>-1407.1916000000001</v>
      </c>
      <c r="O23" s="15">
        <f>+O4+O6+O10+O8+O16+O18+O20</f>
        <v>-49549</v>
      </c>
      <c r="P23" s="1">
        <v>1604</v>
      </c>
      <c r="Q23" s="1">
        <f>SUM(Q4:Q22)</f>
        <v>49550</v>
      </c>
      <c r="S23" s="170"/>
    </row>
    <row r="24" spans="1:26">
      <c r="A24" s="10"/>
      <c r="B24" s="12"/>
      <c r="C24" s="12"/>
      <c r="D24" s="12"/>
      <c r="E24" s="12"/>
      <c r="F24" s="12"/>
      <c r="G24" s="12"/>
      <c r="H24" s="12"/>
      <c r="I24" s="11"/>
      <c r="J24" s="13"/>
      <c r="K24" s="14"/>
      <c r="Q24" s="2">
        <f>+Q23*0.0284</f>
        <v>1407.22</v>
      </c>
      <c r="S24" s="170"/>
    </row>
    <row r="25" spans="1:26">
      <c r="A25" s="10" t="s">
        <v>8</v>
      </c>
      <c r="B25" s="15">
        <v>0</v>
      </c>
      <c r="C25" s="15">
        <v>0</v>
      </c>
      <c r="D25" s="15">
        <v>0</v>
      </c>
      <c r="E25" s="15">
        <f>SUM(E26:E27)</f>
        <v>0</v>
      </c>
      <c r="F25" s="15">
        <f>SUM(F26:F27)</f>
        <v>0</v>
      </c>
      <c r="G25" s="7">
        <f>+E25+F25</f>
        <v>0</v>
      </c>
      <c r="H25" s="15"/>
      <c r="I25" s="15">
        <f>SUM(I26:I27)</f>
        <v>0</v>
      </c>
      <c r="J25" s="153">
        <v>0</v>
      </c>
      <c r="K25" s="9">
        <f>SUM(G25:J25)</f>
        <v>0</v>
      </c>
      <c r="S25" s="170"/>
    </row>
    <row r="26" spans="1:26">
      <c r="A26" s="82" t="s">
        <v>195</v>
      </c>
      <c r="B26" s="26">
        <v>0</v>
      </c>
      <c r="C26" s="26">
        <v>0</v>
      </c>
      <c r="D26" s="155">
        <v>0</v>
      </c>
      <c r="E26" s="26">
        <f>((G26)/(G$6+G$4))*(E$4+E$6)</f>
        <v>0</v>
      </c>
      <c r="F26" s="26">
        <v>0</v>
      </c>
      <c r="G26" s="155">
        <v>0</v>
      </c>
      <c r="H26" s="155">
        <v>0</v>
      </c>
      <c r="I26" s="155">
        <v>0</v>
      </c>
      <c r="J26" s="21"/>
      <c r="K26" s="160">
        <f>SUM(G26:J26)</f>
        <v>0</v>
      </c>
      <c r="S26" s="169">
        <v>488556</v>
      </c>
    </row>
    <row r="27" spans="1:26">
      <c r="A27" s="82" t="s">
        <v>228</v>
      </c>
      <c r="B27" s="26">
        <v>0</v>
      </c>
      <c r="C27" s="26">
        <v>0</v>
      </c>
      <c r="D27" s="155">
        <v>0</v>
      </c>
      <c r="E27" s="26">
        <f>((G27)/(G$6+G$4))*(E$4+E$6)</f>
        <v>0</v>
      </c>
      <c r="F27" s="26">
        <v>0</v>
      </c>
      <c r="G27" s="155">
        <v>0</v>
      </c>
      <c r="H27" s="12"/>
      <c r="I27" s="12">
        <f>+(F27)/3</f>
        <v>0</v>
      </c>
      <c r="J27" s="21"/>
      <c r="K27" s="160">
        <f>SUM(G27:J27)</f>
        <v>0</v>
      </c>
    </row>
    <row r="28" spans="1:26">
      <c r="A28" s="10"/>
      <c r="B28" s="12"/>
      <c r="C28" s="12" t="s">
        <v>14</v>
      </c>
      <c r="D28" s="12"/>
      <c r="E28" s="12"/>
      <c r="F28" s="12" t="s">
        <v>14</v>
      </c>
      <c r="G28" s="12"/>
      <c r="H28" s="12"/>
      <c r="I28" s="11"/>
      <c r="J28" s="13"/>
      <c r="K28" s="14"/>
    </row>
    <row r="29" spans="1:26" s="1" customFormat="1" ht="16">
      <c r="A29" s="84" t="s">
        <v>229</v>
      </c>
      <c r="B29" s="15">
        <v>1622.8399999999986</v>
      </c>
      <c r="C29" s="15">
        <v>-3872.8399999999747</v>
      </c>
      <c r="D29" s="15">
        <v>-2249.9999999999764</v>
      </c>
      <c r="E29" s="15">
        <f>+E23+E25</f>
        <v>-1920.6759000000002</v>
      </c>
      <c r="F29" s="15">
        <f>+F23+F25</f>
        <v>29664.675899999984</v>
      </c>
      <c r="G29" s="7">
        <f>+E29+F29</f>
        <v>27743.999999999985</v>
      </c>
      <c r="H29" s="15">
        <f>+H23+H25</f>
        <v>0</v>
      </c>
      <c r="I29" s="15">
        <f>+I23+I25</f>
        <v>0</v>
      </c>
      <c r="J29" s="15">
        <f>+J23+J25</f>
        <v>0</v>
      </c>
      <c r="K29" s="9">
        <f>SUM(G29:J29)</f>
        <v>27743.999999999985</v>
      </c>
      <c r="Z29" s="2"/>
    </row>
    <row r="30" spans="1:26">
      <c r="A30" s="10"/>
      <c r="B30" s="12"/>
      <c r="C30" s="12"/>
      <c r="D30" s="12"/>
      <c r="E30" s="12"/>
      <c r="F30" s="12"/>
      <c r="G30" s="12"/>
      <c r="H30" s="12"/>
      <c r="I30" s="11"/>
      <c r="J30" s="13"/>
      <c r="K30" s="14"/>
    </row>
    <row r="31" spans="1:26" s="1" customFormat="1">
      <c r="A31" s="10" t="s">
        <v>14</v>
      </c>
      <c r="B31" s="15">
        <v>0</v>
      </c>
      <c r="C31" s="15">
        <v>0</v>
      </c>
      <c r="D31" s="7">
        <v>0</v>
      </c>
      <c r="E31" s="15">
        <f>SUM(E32:E33)</f>
        <v>0</v>
      </c>
      <c r="F31" s="15">
        <f>SUM(F32:F33)</f>
        <v>0</v>
      </c>
      <c r="G31" s="7">
        <f>+E31+F31</f>
        <v>0</v>
      </c>
      <c r="H31" s="15"/>
      <c r="I31" s="15">
        <f>SUM(I32:I33)</f>
        <v>0</v>
      </c>
      <c r="J31" s="16">
        <v>0</v>
      </c>
      <c r="K31" s="17">
        <f>SUM(G31:J31)</f>
        <v>0</v>
      </c>
    </row>
    <row r="32" spans="1:26">
      <c r="A32" s="82" t="s">
        <v>14</v>
      </c>
      <c r="B32" s="26">
        <v>0</v>
      </c>
      <c r="C32" s="26">
        <v>0</v>
      </c>
      <c r="D32" s="155">
        <v>0</v>
      </c>
      <c r="E32" s="26">
        <f>((G32)/(G$6+G$4))*(E$4+E$6)</f>
        <v>0</v>
      </c>
      <c r="F32" s="26">
        <f>(G32)/(G$6+G$4)*(F$4+F$6)</f>
        <v>0</v>
      </c>
      <c r="G32" s="155">
        <v>0</v>
      </c>
      <c r="H32" s="12"/>
      <c r="I32" s="12"/>
      <c r="J32" s="13"/>
      <c r="K32" s="19"/>
    </row>
    <row r="33" spans="1:11">
      <c r="A33" s="82" t="s">
        <v>14</v>
      </c>
      <c r="B33" s="26">
        <v>0</v>
      </c>
      <c r="C33" s="26">
        <v>0</v>
      </c>
      <c r="D33" s="155">
        <v>0</v>
      </c>
      <c r="E33" s="26">
        <v>0</v>
      </c>
      <c r="F33" s="26">
        <v>0</v>
      </c>
      <c r="G33" s="155">
        <f>+E33+F33</f>
        <v>0</v>
      </c>
      <c r="H33" s="12"/>
      <c r="I33" s="12"/>
      <c r="J33" s="13"/>
      <c r="K33" s="19">
        <f>SUM(F33:J33)</f>
        <v>0</v>
      </c>
    </row>
    <row r="34" spans="1:11">
      <c r="A34" s="10"/>
      <c r="B34" s="12"/>
      <c r="C34" s="12"/>
      <c r="D34" s="12"/>
      <c r="E34" s="12"/>
      <c r="F34" s="12"/>
      <c r="G34" s="12"/>
      <c r="H34" s="12"/>
      <c r="I34" s="11"/>
      <c r="J34" s="13"/>
      <c r="K34" s="14"/>
    </row>
    <row r="35" spans="1:11" s="1" customFormat="1" ht="16">
      <c r="A35" s="84" t="s">
        <v>9</v>
      </c>
      <c r="B35" s="15">
        <v>1622.8399999999986</v>
      </c>
      <c r="C35" s="15">
        <v>-3872.8399999999747</v>
      </c>
      <c r="D35" s="15">
        <v>-2249.9999999999764</v>
      </c>
      <c r="E35" s="15">
        <f>+E29+E31</f>
        <v>-1920.6759000000002</v>
      </c>
      <c r="F35" s="15">
        <f>+F29+F31</f>
        <v>29664.675899999984</v>
      </c>
      <c r="G35" s="7">
        <f>+E35+F35</f>
        <v>27743.999999999985</v>
      </c>
      <c r="H35" s="15">
        <f>+H29+H31</f>
        <v>0</v>
      </c>
      <c r="I35" s="15">
        <f>+I29+I31</f>
        <v>0</v>
      </c>
      <c r="J35" s="15">
        <f>+J29+J31</f>
        <v>0</v>
      </c>
      <c r="K35" s="15">
        <f>+K29+K31</f>
        <v>27743.999999999985</v>
      </c>
    </row>
    <row r="36" spans="1:11">
      <c r="A36" s="10"/>
      <c r="B36" s="12"/>
      <c r="C36" s="12" t="s">
        <v>14</v>
      </c>
      <c r="D36" s="12"/>
      <c r="E36" s="12"/>
      <c r="F36" s="12" t="s">
        <v>14</v>
      </c>
      <c r="G36" s="12"/>
      <c r="H36" s="12"/>
      <c r="I36" s="11"/>
      <c r="J36" s="13"/>
      <c r="K36" s="14"/>
    </row>
    <row r="37" spans="1:11">
      <c r="A37" s="18" t="s">
        <v>10</v>
      </c>
      <c r="B37" s="12">
        <v>0</v>
      </c>
      <c r="C37" s="12">
        <v>0</v>
      </c>
      <c r="D37" s="12"/>
      <c r="E37" s="12">
        <v>0</v>
      </c>
      <c r="F37" s="12">
        <v>0</v>
      </c>
      <c r="G37" s="12"/>
      <c r="H37" s="12"/>
      <c r="I37" s="12" t="s">
        <v>14</v>
      </c>
      <c r="J37" s="23">
        <v>0</v>
      </c>
      <c r="K37" s="17">
        <f>SUM(G37:J37)</f>
        <v>0</v>
      </c>
    </row>
    <row r="38" spans="1:11">
      <c r="A38" s="10"/>
      <c r="B38" s="11"/>
      <c r="C38" s="12"/>
      <c r="D38" s="12"/>
      <c r="E38" s="11"/>
      <c r="F38" s="12"/>
      <c r="G38" s="12"/>
      <c r="H38" s="12"/>
      <c r="I38" s="11"/>
      <c r="J38" s="13"/>
      <c r="K38" s="14"/>
    </row>
    <row r="39" spans="1:11" s="1" customFormat="1">
      <c r="A39" s="10" t="s">
        <v>12</v>
      </c>
      <c r="B39" s="15">
        <v>0</v>
      </c>
      <c r="C39" s="15">
        <v>0</v>
      </c>
      <c r="D39" s="7">
        <v>0</v>
      </c>
      <c r="E39" s="15">
        <f>-ta!E77</f>
        <v>-36.710585521364919</v>
      </c>
      <c r="F39" s="15">
        <f>+F37-0</f>
        <v>0</v>
      </c>
      <c r="G39" s="7">
        <f>+E39</f>
        <v>-36.710585521364919</v>
      </c>
      <c r="H39" s="7">
        <v>0</v>
      </c>
      <c r="I39" s="15">
        <v>0</v>
      </c>
      <c r="J39" s="22">
        <f>+J37-0</f>
        <v>0</v>
      </c>
      <c r="K39" s="17">
        <f>-+ta!E77</f>
        <v>-36.710585521364919</v>
      </c>
    </row>
    <row r="40" spans="1:11">
      <c r="A40" s="28" t="s">
        <v>16</v>
      </c>
      <c r="B40" s="11"/>
      <c r="C40" s="12"/>
      <c r="D40" s="12"/>
      <c r="E40" s="11"/>
      <c r="F40" s="12"/>
      <c r="G40" s="12"/>
      <c r="H40" s="12"/>
      <c r="I40" s="11"/>
      <c r="J40" s="13"/>
      <c r="K40" s="14"/>
    </row>
    <row r="41" spans="1:11" s="1" customFormat="1" ht="17" thickBot="1">
      <c r="A41" s="85" t="s">
        <v>11</v>
      </c>
      <c r="B41" s="24">
        <v>1622.8399999999986</v>
      </c>
      <c r="C41" s="24">
        <v>-3872.8399999999747</v>
      </c>
      <c r="D41" s="24">
        <v>-2249.9999999999764</v>
      </c>
      <c r="E41" s="15">
        <f>+E35+E39</f>
        <v>-1957.3864855213651</v>
      </c>
      <c r="F41" s="24">
        <f>+F35+F39</f>
        <v>29664.675899999984</v>
      </c>
      <c r="G41" s="7">
        <f>+E41+F41</f>
        <v>27707.289414478619</v>
      </c>
      <c r="H41" s="24">
        <f>+H35+H39</f>
        <v>0</v>
      </c>
      <c r="I41" s="24">
        <f>+I35+I39</f>
        <v>0</v>
      </c>
      <c r="J41" s="24">
        <f>+J35+J39</f>
        <v>0</v>
      </c>
      <c r="K41" s="25">
        <f>+K35+K39-1</f>
        <v>27706.289414478619</v>
      </c>
    </row>
    <row r="43" spans="1:11">
      <c r="B43" s="162" t="s">
        <v>14</v>
      </c>
      <c r="E43" s="162" t="s">
        <v>14</v>
      </c>
    </row>
  </sheetData>
  <phoneticPr fontId="36" type="noConversion"/>
  <printOptions horizontalCentered="1" verticalCentered="1"/>
  <pageMargins left="0.51181102362204722" right="0.43307086614173229" top="0.59055118110236227" bottom="0.23622047244094491" header="0.31496062992125984" footer="0.19685039370078741"/>
  <pageSetup paperSize="9" scale="75" orientation="landscape"/>
  <headerFooter alignWithMargins="0">
    <oddHeader>&amp;C&amp;"Arial CE,Félkövér\2004</oddHeader>
    <oddFooter>&amp;L&amp;D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1DDF5D-5F4D-3448-B1A3-5113919DEE36}">
  <sheetPr>
    <pageSetUpPr fitToPage="1"/>
  </sheetPr>
  <dimension ref="A1:G41"/>
  <sheetViews>
    <sheetView view="pageBreakPreview" zoomScale="60" zoomScaleNormal="100" workbookViewId="0">
      <selection activeCell="G14" sqref="G14"/>
    </sheetView>
  </sheetViews>
  <sheetFormatPr baseColWidth="10" defaultRowHeight="13"/>
  <cols>
    <col min="1" max="1" width="30.5" customWidth="1"/>
    <col min="2" max="2" width="10.33203125" customWidth="1"/>
    <col min="3" max="6" width="8.83203125" customWidth="1"/>
    <col min="7" max="7" width="26.6640625" customWidth="1"/>
    <col min="8" max="8" width="15" customWidth="1"/>
    <col min="9" max="256" width="8.83203125" customWidth="1"/>
  </cols>
  <sheetData>
    <row r="1" spans="1:7" ht="16">
      <c r="A1" s="29">
        <f>[1]Hivatkozasok!B2</f>
        <v>0</v>
      </c>
      <c r="B1" s="183"/>
      <c r="C1" s="183"/>
      <c r="D1" s="30"/>
      <c r="E1" s="184">
        <f>[1]Hivatkozasok!B3</f>
        <v>0</v>
      </c>
      <c r="F1" s="185"/>
      <c r="G1" s="185"/>
    </row>
    <row r="2" spans="1:7" ht="21">
      <c r="A2" s="30"/>
      <c r="B2" s="30"/>
      <c r="C2" s="30"/>
      <c r="D2" s="30"/>
      <c r="E2" s="30"/>
      <c r="F2" s="30"/>
      <c r="G2" s="31" t="s">
        <v>17</v>
      </c>
    </row>
    <row r="3" spans="1:7" ht="66">
      <c r="A3" s="32" t="s">
        <v>18</v>
      </c>
      <c r="B3" s="33"/>
      <c r="C3" s="33"/>
      <c r="D3" s="33"/>
      <c r="E3" s="33"/>
      <c r="F3" s="33"/>
      <c r="G3" s="33"/>
    </row>
    <row r="4" spans="1:7" ht="17" thickBot="1">
      <c r="A4" s="30"/>
      <c r="B4" s="30"/>
      <c r="C4" s="30"/>
      <c r="D4" s="30"/>
      <c r="E4" s="30"/>
      <c r="F4" s="30"/>
      <c r="G4" s="34"/>
    </row>
    <row r="5" spans="1:7" ht="18" thickTop="1">
      <c r="A5" s="186" t="s">
        <v>19</v>
      </c>
      <c r="B5" s="187"/>
      <c r="C5" s="187"/>
      <c r="D5" s="187"/>
      <c r="E5" s="188"/>
      <c r="F5" s="35" t="s">
        <v>20</v>
      </c>
      <c r="G5" s="36" t="s">
        <v>21</v>
      </c>
    </row>
    <row r="6" spans="1:7" ht="16">
      <c r="A6" s="189" t="s">
        <v>22</v>
      </c>
      <c r="B6" s="192" t="s">
        <v>23</v>
      </c>
      <c r="C6" s="193"/>
      <c r="D6" s="193"/>
      <c r="E6" s="194"/>
      <c r="F6" s="195" t="s">
        <v>24</v>
      </c>
      <c r="G6" s="37">
        <f>+eredmény!E4</f>
        <v>1822</v>
      </c>
    </row>
    <row r="7" spans="1:7" ht="16">
      <c r="A7" s="190"/>
      <c r="B7" s="198" t="s">
        <v>25</v>
      </c>
      <c r="C7" s="199"/>
      <c r="D7" s="199"/>
      <c r="E7" s="200"/>
      <c r="F7" s="196"/>
      <c r="G7" s="38"/>
    </row>
    <row r="8" spans="1:7" ht="16">
      <c r="A8" s="190"/>
      <c r="B8" s="198" t="s">
        <v>26</v>
      </c>
      <c r="C8" s="199"/>
      <c r="D8" s="199"/>
      <c r="E8" s="200"/>
      <c r="F8" s="196"/>
      <c r="G8" s="38"/>
    </row>
    <row r="9" spans="1:7" ht="16">
      <c r="A9" s="190"/>
      <c r="B9" s="198" t="s">
        <v>27</v>
      </c>
      <c r="C9" s="199"/>
      <c r="D9" s="199"/>
      <c r="E9" s="200"/>
      <c r="F9" s="196"/>
      <c r="G9" s="38"/>
    </row>
    <row r="10" spans="1:7" ht="16">
      <c r="A10" s="190"/>
      <c r="B10" s="198" t="s">
        <v>28</v>
      </c>
      <c r="C10" s="199"/>
      <c r="D10" s="199"/>
      <c r="E10" s="200"/>
      <c r="F10" s="197"/>
      <c r="G10" s="38"/>
    </row>
    <row r="11" spans="1:7" ht="16">
      <c r="A11" s="191"/>
      <c r="B11" s="39" t="s">
        <v>29</v>
      </c>
      <c r="C11" s="40"/>
      <c r="D11" s="40"/>
      <c r="E11" s="41"/>
      <c r="F11" s="40"/>
      <c r="G11" s="42">
        <f>+G6-G7-G8-G9-G10</f>
        <v>1822</v>
      </c>
    </row>
    <row r="12" spans="1:7" ht="16">
      <c r="A12" s="43"/>
      <c r="B12" s="44"/>
      <c r="C12" s="44"/>
      <c r="D12" s="44"/>
      <c r="E12" s="44"/>
      <c r="F12" s="44"/>
      <c r="G12" s="42"/>
    </row>
    <row r="13" spans="1:7" ht="34">
      <c r="A13" s="173" t="s">
        <v>30</v>
      </c>
      <c r="B13" s="45" t="s">
        <v>31</v>
      </c>
      <c r="C13" s="46"/>
      <c r="D13" s="46"/>
      <c r="E13" s="47"/>
      <c r="F13" s="48" t="s">
        <v>32</v>
      </c>
      <c r="G13" s="38">
        <v>2951</v>
      </c>
    </row>
    <row r="14" spans="1:7" ht="34">
      <c r="A14" s="174"/>
      <c r="B14" s="49" t="s">
        <v>33</v>
      </c>
      <c r="C14" s="50"/>
      <c r="D14" s="50"/>
      <c r="E14" s="51"/>
      <c r="F14" s="48" t="s">
        <v>34</v>
      </c>
      <c r="G14" s="38">
        <v>0</v>
      </c>
    </row>
    <row r="15" spans="1:7" ht="51">
      <c r="A15" s="174"/>
      <c r="B15" s="52" t="s">
        <v>13</v>
      </c>
      <c r="C15" s="53"/>
      <c r="D15" s="53"/>
      <c r="E15" s="54"/>
      <c r="F15" s="48" t="s">
        <v>35</v>
      </c>
      <c r="G15" s="38">
        <f>-eredmény!E11</f>
        <v>2250.2599</v>
      </c>
    </row>
    <row r="16" spans="1:7" ht="17" thickBot="1">
      <c r="A16" s="175"/>
      <c r="B16" s="39" t="s">
        <v>29</v>
      </c>
      <c r="C16" s="40"/>
      <c r="D16" s="40"/>
      <c r="E16" s="41"/>
      <c r="F16" s="40"/>
      <c r="G16" s="42">
        <f>SUM(G13:G15)</f>
        <v>5201.2599</v>
      </c>
    </row>
    <row r="17" spans="1:7" ht="18" thickBot="1">
      <c r="A17" s="55" t="s">
        <v>36</v>
      </c>
      <c r="B17" s="56"/>
      <c r="C17" s="56"/>
      <c r="D17" s="56"/>
      <c r="E17" s="56"/>
      <c r="F17" s="56"/>
      <c r="G17" s="57">
        <f>+G11-G16</f>
        <v>-3379.2599</v>
      </c>
    </row>
    <row r="18" spans="1:7" ht="14">
      <c r="A18" s="58"/>
      <c r="B18" s="58"/>
      <c r="C18" s="58"/>
      <c r="D18" s="58"/>
      <c r="E18" s="58"/>
      <c r="F18" s="58"/>
      <c r="G18" s="59"/>
    </row>
    <row r="19" spans="1:7" ht="34">
      <c r="A19" s="176" t="s">
        <v>37</v>
      </c>
      <c r="B19" s="179" t="s">
        <v>38</v>
      </c>
      <c r="C19" s="180"/>
      <c r="D19" s="180"/>
      <c r="E19" s="181"/>
      <c r="F19" s="60" t="s">
        <v>39</v>
      </c>
      <c r="G19" s="37"/>
    </row>
    <row r="20" spans="1:7" ht="17">
      <c r="A20" s="177"/>
      <c r="B20" s="179" t="s">
        <v>40</v>
      </c>
      <c r="C20" s="180"/>
      <c r="D20" s="180"/>
      <c r="E20" s="181"/>
      <c r="F20" s="60" t="s">
        <v>41</v>
      </c>
      <c r="G20" s="37"/>
    </row>
    <row r="21" spans="1:7" ht="16">
      <c r="A21" s="178"/>
      <c r="B21" s="39" t="s">
        <v>29</v>
      </c>
      <c r="C21" s="40"/>
      <c r="D21" s="40"/>
      <c r="E21" s="41"/>
      <c r="F21" s="40"/>
      <c r="G21" s="42">
        <f>SUM(G19:G20)</f>
        <v>0</v>
      </c>
    </row>
    <row r="22" spans="1:7" ht="16">
      <c r="A22" s="176" t="s">
        <v>42</v>
      </c>
      <c r="B22" s="207"/>
      <c r="C22" s="208"/>
      <c r="D22" s="208"/>
      <c r="E22" s="209"/>
      <c r="F22" s="204" t="s">
        <v>43</v>
      </c>
      <c r="G22" s="37"/>
    </row>
    <row r="23" spans="1:7" ht="16">
      <c r="A23" s="177"/>
      <c r="B23" s="207"/>
      <c r="C23" s="208"/>
      <c r="D23" s="208"/>
      <c r="E23" s="209"/>
      <c r="F23" s="205"/>
      <c r="G23" s="37"/>
    </row>
    <row r="24" spans="1:7" ht="16">
      <c r="A24" s="177"/>
      <c r="B24" s="207"/>
      <c r="C24" s="208"/>
      <c r="D24" s="208"/>
      <c r="E24" s="209"/>
      <c r="F24" s="205"/>
      <c r="G24" s="37"/>
    </row>
    <row r="25" spans="1:7" ht="16">
      <c r="A25" s="177"/>
      <c r="B25" s="207"/>
      <c r="C25" s="208"/>
      <c r="D25" s="208"/>
      <c r="E25" s="209"/>
      <c r="F25" s="205"/>
      <c r="G25" s="37"/>
    </row>
    <row r="26" spans="1:7" ht="16">
      <c r="A26" s="177"/>
      <c r="B26" s="207"/>
      <c r="C26" s="208"/>
      <c r="D26" s="208"/>
      <c r="E26" s="209"/>
      <c r="F26" s="206"/>
      <c r="G26" s="37"/>
    </row>
    <row r="27" spans="1:7" ht="17" thickBot="1">
      <c r="A27" s="182"/>
      <c r="B27" s="39" t="s">
        <v>29</v>
      </c>
      <c r="C27" s="40"/>
      <c r="D27" s="40"/>
      <c r="E27" s="41"/>
      <c r="F27" s="40"/>
      <c r="G27" s="42">
        <f>SUM(G22:G26)</f>
        <v>0</v>
      </c>
    </row>
    <row r="28" spans="1:7" ht="18" thickBot="1">
      <c r="A28" s="55" t="s">
        <v>44</v>
      </c>
      <c r="B28" s="56"/>
      <c r="C28" s="56"/>
      <c r="D28" s="56"/>
      <c r="E28" s="56"/>
      <c r="F28" s="56"/>
      <c r="G28" s="57">
        <f>IF(+G17-G21-G27&gt;0,+G17-G21-G27,0)</f>
        <v>0</v>
      </c>
    </row>
    <row r="29" spans="1:7" ht="15" thickBot="1">
      <c r="A29" s="58"/>
      <c r="B29" s="58"/>
      <c r="C29" s="58"/>
      <c r="D29" s="58"/>
      <c r="E29" s="58"/>
      <c r="F29" s="58"/>
      <c r="G29" s="59"/>
    </row>
    <row r="30" spans="1:7" ht="17" thickBot="1">
      <c r="A30" s="61"/>
      <c r="B30" s="62"/>
      <c r="C30" s="62"/>
      <c r="D30" s="62"/>
      <c r="E30" s="62"/>
      <c r="F30" s="62"/>
      <c r="G30" s="63"/>
    </row>
    <row r="31" spans="1:7">
      <c r="A31" s="174" t="s">
        <v>45</v>
      </c>
      <c r="B31" s="202" t="s">
        <v>46</v>
      </c>
      <c r="C31" s="202" t="s">
        <v>47</v>
      </c>
      <c r="D31" s="202" t="s">
        <v>48</v>
      </c>
      <c r="E31" s="217" t="s">
        <v>49</v>
      </c>
      <c r="F31" s="218"/>
      <c r="G31" s="213" t="s">
        <v>50</v>
      </c>
    </row>
    <row r="32" spans="1:7" ht="24" customHeight="1" thickBot="1">
      <c r="A32" s="201"/>
      <c r="B32" s="203"/>
      <c r="C32" s="203"/>
      <c r="D32" s="203"/>
      <c r="E32" s="219"/>
      <c r="F32" s="220"/>
      <c r="G32" s="214"/>
    </row>
    <row r="33" spans="1:7" ht="21" customHeight="1" thickBot="1">
      <c r="A33" s="64" t="s">
        <v>232</v>
      </c>
      <c r="B33" s="65">
        <v>100</v>
      </c>
      <c r="C33" s="65">
        <v>1.8</v>
      </c>
      <c r="D33" s="66">
        <f>IF(B33&gt;0,SUM($G$28*B33*C33)/10000,0)</f>
        <v>0</v>
      </c>
      <c r="E33" s="215">
        <v>0</v>
      </c>
      <c r="F33" s="216"/>
      <c r="G33" s="66">
        <f>IF(D33-E33&gt;0,D33-E33,0)</f>
        <v>0</v>
      </c>
    </row>
    <row r="34" spans="1:7" ht="18" thickBot="1">
      <c r="A34" s="67" t="s">
        <v>14</v>
      </c>
      <c r="B34" s="68">
        <v>0</v>
      </c>
      <c r="C34" s="68">
        <v>1.4</v>
      </c>
      <c r="D34" s="69">
        <f>IF(B34&gt;0,SUM($G$28*B34*C34)/10000,0)</f>
        <v>0</v>
      </c>
      <c r="E34" s="215"/>
      <c r="F34" s="216"/>
      <c r="G34" s="69">
        <f>IF(D34-E34&gt;0,D34-E34,0)</f>
        <v>0</v>
      </c>
    </row>
    <row r="35" spans="1:7" ht="18" thickBot="1">
      <c r="A35" s="67" t="s">
        <v>14</v>
      </c>
      <c r="B35" s="68">
        <v>0</v>
      </c>
      <c r="C35" s="68">
        <v>1.5</v>
      </c>
      <c r="D35" s="69">
        <f>IF(B35&gt;0,SUM($G$28*B35*C35)/10000,0)</f>
        <v>0</v>
      </c>
      <c r="E35" s="215"/>
      <c r="F35" s="216"/>
      <c r="G35" s="69">
        <f>IF(D35-E35&gt;0,D35-E35,0)</f>
        <v>0</v>
      </c>
    </row>
    <row r="36" spans="1:7" ht="17" thickBot="1">
      <c r="A36" s="67"/>
      <c r="B36" s="68"/>
      <c r="C36" s="68"/>
      <c r="D36" s="69">
        <f>IF(B36&gt;0,SUM($G$28*B36*C36)/10000,0)</f>
        <v>0</v>
      </c>
      <c r="E36" s="215"/>
      <c r="F36" s="216"/>
      <c r="G36" s="69">
        <f>IF(D36-E36&gt;0,D36-E36,0)</f>
        <v>0</v>
      </c>
    </row>
    <row r="37" spans="1:7" ht="17" thickBot="1">
      <c r="A37" s="70"/>
      <c r="B37" s="71"/>
      <c r="C37" s="71"/>
      <c r="D37" s="72">
        <f>IF(B37&gt;0,SUM($G$28*B37*C37)/10000,0)</f>
        <v>0</v>
      </c>
      <c r="E37" s="215"/>
      <c r="F37" s="216"/>
      <c r="G37" s="72">
        <f>IF(D37-E37&gt;0,D37-E37,0)</f>
        <v>0</v>
      </c>
    </row>
    <row r="38" spans="1:7" ht="17" thickBot="1">
      <c r="A38" s="73"/>
      <c r="B38" s="74">
        <f>SUM(B33:B37)</f>
        <v>100</v>
      </c>
      <c r="C38" s="210" t="s">
        <v>51</v>
      </c>
      <c r="D38" s="211"/>
      <c r="E38" s="212"/>
      <c r="F38" s="75"/>
      <c r="G38" s="57">
        <f>SUM(G33:G37)</f>
        <v>0</v>
      </c>
    </row>
    <row r="39" spans="1:7" ht="17">
      <c r="A39" s="76" t="s">
        <v>52</v>
      </c>
      <c r="B39" s="77"/>
      <c r="C39" s="77"/>
      <c r="D39" s="77"/>
      <c r="E39" s="77"/>
      <c r="F39" s="77"/>
      <c r="G39" s="78"/>
    </row>
    <row r="40" spans="1:7" ht="21" thickBot="1">
      <c r="A40" s="79" t="s">
        <v>53</v>
      </c>
      <c r="B40" s="80"/>
      <c r="C40" s="80"/>
      <c r="D40" s="80"/>
      <c r="E40" s="80"/>
      <c r="F40" s="80"/>
      <c r="G40" s="81">
        <f>SUM(G39-G38)</f>
        <v>0</v>
      </c>
    </row>
    <row r="41" spans="1:7" ht="14" thickTop="1"/>
  </sheetData>
  <mergeCells count="33">
    <mergeCell ref="C38:E38"/>
    <mergeCell ref="G31:G32"/>
    <mergeCell ref="E33:F33"/>
    <mergeCell ref="E34:F34"/>
    <mergeCell ref="E35:F35"/>
    <mergeCell ref="E36:F36"/>
    <mergeCell ref="E37:F37"/>
    <mergeCell ref="E31:F32"/>
    <mergeCell ref="A31:A32"/>
    <mergeCell ref="B31:B32"/>
    <mergeCell ref="C31:C32"/>
    <mergeCell ref="D31:D32"/>
    <mergeCell ref="F22:F26"/>
    <mergeCell ref="B23:E23"/>
    <mergeCell ref="B24:E24"/>
    <mergeCell ref="B25:E25"/>
    <mergeCell ref="B26:E26"/>
    <mergeCell ref="B22:E22"/>
    <mergeCell ref="B1:C1"/>
    <mergeCell ref="E1:G1"/>
    <mergeCell ref="A5:E5"/>
    <mergeCell ref="A6:A11"/>
    <mergeCell ref="B6:E6"/>
    <mergeCell ref="F6:F10"/>
    <mergeCell ref="B7:E7"/>
    <mergeCell ref="B8:E8"/>
    <mergeCell ref="B9:E9"/>
    <mergeCell ref="B10:E10"/>
    <mergeCell ref="A13:A16"/>
    <mergeCell ref="A19:A21"/>
    <mergeCell ref="B19:E19"/>
    <mergeCell ref="B20:E20"/>
    <mergeCell ref="A22:A27"/>
  </mergeCells>
  <phoneticPr fontId="36" type="noConversion"/>
  <pageMargins left="0.74803149606299213" right="0.74803149606299213" top="0.98425196850393704" bottom="0.98425196850393704" header="0.51181102362204722" footer="0.51181102362204722"/>
  <pageSetup paperSize="9" scale="79" orientation="portrait" horizontalDpi="0" verticalDpi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17B4E8-46AE-5B4C-BDE1-8DDC5147094F}">
  <dimension ref="A1:G78"/>
  <sheetViews>
    <sheetView view="pageBreakPreview" zoomScale="60" zoomScaleNormal="100" workbookViewId="0">
      <selection activeCell="E11" sqref="E11"/>
    </sheetView>
  </sheetViews>
  <sheetFormatPr baseColWidth="10" defaultRowHeight="13"/>
  <cols>
    <col min="1" max="1" width="8.83203125" customWidth="1"/>
    <col min="2" max="2" width="83.6640625" customWidth="1"/>
    <col min="3" max="3" width="14.6640625" customWidth="1"/>
    <col min="4" max="4" width="12.5" customWidth="1"/>
    <col min="5" max="5" width="17.5" customWidth="1"/>
    <col min="6" max="6" width="19.5" customWidth="1"/>
    <col min="7" max="256" width="8.83203125" customWidth="1"/>
  </cols>
  <sheetData>
    <row r="1" spans="1:6" ht="16">
      <c r="A1" s="86"/>
      <c r="B1" s="87"/>
      <c r="C1" s="88"/>
      <c r="D1" s="89"/>
      <c r="E1" s="90"/>
      <c r="F1" s="90"/>
    </row>
    <row r="2" spans="1:6" ht="23.25" customHeight="1">
      <c r="A2" s="225" t="s">
        <v>58</v>
      </c>
      <c r="B2" s="225"/>
      <c r="C2" s="225"/>
      <c r="D2" s="225"/>
      <c r="E2" s="225"/>
      <c r="F2" s="225"/>
    </row>
    <row r="3" spans="1:6" ht="15" customHeight="1">
      <c r="A3" s="226" t="s">
        <v>59</v>
      </c>
      <c r="B3" s="226"/>
      <c r="C3" s="226"/>
      <c r="D3" s="226"/>
      <c r="E3" s="226"/>
      <c r="F3" s="226"/>
    </row>
    <row r="4" spans="1:6" ht="17" thickBot="1">
      <c r="A4" s="227" t="s">
        <v>14</v>
      </c>
      <c r="B4" s="227"/>
      <c r="C4" s="227"/>
      <c r="D4" s="227"/>
      <c r="E4" s="227"/>
      <c r="F4" s="227"/>
    </row>
    <row r="5" spans="1:6" ht="16">
      <c r="A5" s="86"/>
      <c r="B5" s="87"/>
      <c r="C5" s="88"/>
      <c r="D5" s="89"/>
      <c r="E5" s="91"/>
      <c r="F5" s="91"/>
    </row>
    <row r="6" spans="1:6">
      <c r="A6" s="92"/>
      <c r="B6" s="93"/>
      <c r="C6" s="228" t="s">
        <v>60</v>
      </c>
      <c r="D6" s="228"/>
      <c r="E6" s="228"/>
      <c r="F6" s="228"/>
    </row>
    <row r="7" spans="1:6" ht="36" customHeight="1">
      <c r="A7" s="221" t="s">
        <v>61</v>
      </c>
      <c r="B7" s="221"/>
      <c r="C7" s="95" t="s">
        <v>20</v>
      </c>
      <c r="D7" s="94"/>
      <c r="E7" s="96">
        <v>2025</v>
      </c>
      <c r="F7" s="97" t="s">
        <v>62</v>
      </c>
    </row>
    <row r="8" spans="1:6" ht="30" customHeight="1">
      <c r="A8" s="222" t="s">
        <v>63</v>
      </c>
      <c r="B8" s="222"/>
      <c r="C8" s="99"/>
      <c r="D8" s="100"/>
      <c r="E8" s="101">
        <f>+eredmény!G35</f>
        <v>27743.999999999985</v>
      </c>
      <c r="F8" s="102" t="s">
        <v>64</v>
      </c>
    </row>
    <row r="9" spans="1:6" ht="15.75" customHeight="1">
      <c r="A9" s="223" t="s">
        <v>65</v>
      </c>
      <c r="B9" s="224"/>
      <c r="C9" s="99"/>
      <c r="D9" s="100"/>
      <c r="E9" s="103"/>
      <c r="F9" s="103"/>
    </row>
    <row r="10" spans="1:6" ht="42" customHeight="1">
      <c r="A10" s="104">
        <v>1</v>
      </c>
      <c r="B10" s="105" t="s">
        <v>66</v>
      </c>
      <c r="C10" s="156" t="s">
        <v>67</v>
      </c>
      <c r="D10" s="106" t="s">
        <v>68</v>
      </c>
      <c r="E10" s="154">
        <v>2250</v>
      </c>
      <c r="F10" s="107"/>
    </row>
    <row r="11" spans="1:6" ht="42" customHeight="1">
      <c r="A11" s="104"/>
      <c r="B11" s="105" t="s">
        <v>69</v>
      </c>
      <c r="C11" s="99" t="s">
        <v>70</v>
      </c>
      <c r="D11" s="108" t="s">
        <v>14</v>
      </c>
      <c r="E11" s="107">
        <v>0</v>
      </c>
      <c r="F11" s="107"/>
    </row>
    <row r="12" spans="1:6" ht="42" customHeight="1">
      <c r="A12" s="104">
        <v>2</v>
      </c>
      <c r="B12" s="105" t="s">
        <v>71</v>
      </c>
      <c r="C12" s="158" t="s">
        <v>72</v>
      </c>
      <c r="D12" s="106" t="s">
        <v>73</v>
      </c>
      <c r="E12" s="107"/>
      <c r="F12" s="109"/>
    </row>
    <row r="13" spans="1:6" ht="42" customHeight="1">
      <c r="A13" s="104">
        <v>3</v>
      </c>
      <c r="B13" s="105" t="s">
        <v>74</v>
      </c>
      <c r="C13" s="156" t="s">
        <v>75</v>
      </c>
      <c r="D13" s="106" t="s">
        <v>68</v>
      </c>
      <c r="E13" s="107"/>
      <c r="F13" s="109"/>
    </row>
    <row r="14" spans="1:6" ht="42" customHeight="1">
      <c r="A14" s="104">
        <v>4</v>
      </c>
      <c r="B14" s="105" t="s">
        <v>76</v>
      </c>
      <c r="C14" s="158" t="s">
        <v>77</v>
      </c>
      <c r="D14" s="106" t="s">
        <v>73</v>
      </c>
      <c r="E14" s="107">
        <f>-eredmény!K18</f>
        <v>30456</v>
      </c>
      <c r="F14" s="110"/>
    </row>
    <row r="15" spans="1:6" ht="42" customHeight="1">
      <c r="A15" s="104">
        <v>5</v>
      </c>
      <c r="B15" s="105" t="s">
        <v>78</v>
      </c>
      <c r="C15" s="158" t="s">
        <v>77</v>
      </c>
      <c r="D15" s="106" t="s">
        <v>73</v>
      </c>
      <c r="E15" s="107">
        <f>[2]Hivatkozasok!B6</f>
        <v>0</v>
      </c>
      <c r="F15" s="111"/>
    </row>
    <row r="16" spans="1:6" ht="42" customHeight="1">
      <c r="A16" s="104">
        <v>6</v>
      </c>
      <c r="B16" s="112" t="s">
        <v>79</v>
      </c>
      <c r="C16" s="158" t="s">
        <v>77</v>
      </c>
      <c r="D16" s="106" t="s">
        <v>73</v>
      </c>
      <c r="E16" s="107"/>
      <c r="F16" s="111"/>
    </row>
    <row r="17" spans="1:6" ht="42" customHeight="1">
      <c r="A17" s="104">
        <v>7</v>
      </c>
      <c r="B17" s="105" t="s">
        <v>80</v>
      </c>
      <c r="C17" s="156" t="s">
        <v>81</v>
      </c>
      <c r="D17" s="106" t="s">
        <v>68</v>
      </c>
      <c r="E17" s="154">
        <v>30774</v>
      </c>
      <c r="F17" s="107"/>
    </row>
    <row r="18" spans="1:6" ht="42" customHeight="1">
      <c r="A18" s="104">
        <v>8</v>
      </c>
      <c r="B18" s="105" t="s">
        <v>82</v>
      </c>
      <c r="C18" s="156" t="s">
        <v>81</v>
      </c>
      <c r="D18" s="106" t="s">
        <v>68</v>
      </c>
      <c r="E18" s="107"/>
      <c r="F18" s="107"/>
    </row>
    <row r="19" spans="1:6" ht="42" customHeight="1">
      <c r="A19" s="104">
        <v>9</v>
      </c>
      <c r="B19" s="105" t="s">
        <v>83</v>
      </c>
      <c r="C19" s="156" t="s">
        <v>84</v>
      </c>
      <c r="D19" s="106" t="s">
        <v>68</v>
      </c>
      <c r="E19" s="107"/>
      <c r="F19" s="110"/>
    </row>
    <row r="20" spans="1:6" ht="42" customHeight="1">
      <c r="A20" s="104">
        <v>10</v>
      </c>
      <c r="B20" s="105" t="s">
        <v>85</v>
      </c>
      <c r="C20" s="99" t="s">
        <v>86</v>
      </c>
      <c r="D20" s="106" t="s">
        <v>68</v>
      </c>
      <c r="E20" s="107">
        <v>0</v>
      </c>
      <c r="F20" s="107"/>
    </row>
    <row r="21" spans="1:6" ht="42" customHeight="1">
      <c r="A21" s="104">
        <v>11</v>
      </c>
      <c r="B21" s="105" t="s">
        <v>87</v>
      </c>
      <c r="C21" s="158" t="s">
        <v>88</v>
      </c>
      <c r="D21" s="106" t="s">
        <v>73</v>
      </c>
      <c r="E21" s="154">
        <v>0</v>
      </c>
      <c r="F21" s="110"/>
    </row>
    <row r="22" spans="1:6" ht="42" customHeight="1">
      <c r="A22" s="104">
        <v>12</v>
      </c>
      <c r="B22" s="105" t="s">
        <v>89</v>
      </c>
      <c r="C22" s="156" t="s">
        <v>90</v>
      </c>
      <c r="D22" s="106" t="s">
        <v>68</v>
      </c>
      <c r="E22" s="107"/>
      <c r="F22" s="107"/>
    </row>
    <row r="23" spans="1:6" ht="42" customHeight="1">
      <c r="A23" s="104">
        <v>13</v>
      </c>
      <c r="B23" s="105" t="s">
        <v>91</v>
      </c>
      <c r="C23" s="158" t="s">
        <v>92</v>
      </c>
      <c r="D23" s="106" t="s">
        <v>73</v>
      </c>
      <c r="E23" s="107"/>
      <c r="F23" s="110"/>
    </row>
    <row r="24" spans="1:6" ht="42" customHeight="1">
      <c r="A24" s="104">
        <v>14</v>
      </c>
      <c r="B24" s="105" t="s">
        <v>93</v>
      </c>
      <c r="C24" s="156" t="s">
        <v>94</v>
      </c>
      <c r="D24" s="106" t="s">
        <v>68</v>
      </c>
      <c r="E24" s="107"/>
      <c r="F24" s="110"/>
    </row>
    <row r="25" spans="1:6" ht="42" customHeight="1">
      <c r="A25" s="104">
        <v>15</v>
      </c>
      <c r="B25" s="105" t="s">
        <v>95</v>
      </c>
      <c r="C25" s="158" t="s">
        <v>96</v>
      </c>
      <c r="D25" s="106" t="s">
        <v>73</v>
      </c>
      <c r="E25" s="107"/>
      <c r="F25" s="107"/>
    </row>
    <row r="26" spans="1:6" ht="42" customHeight="1">
      <c r="A26" s="104">
        <v>16</v>
      </c>
      <c r="B26" s="105" t="s">
        <v>97</v>
      </c>
      <c r="C26" s="156" t="s">
        <v>98</v>
      </c>
      <c r="D26" s="106" t="s">
        <v>68</v>
      </c>
      <c r="E26" s="107"/>
      <c r="F26" s="107"/>
    </row>
    <row r="27" spans="1:6" ht="42" customHeight="1">
      <c r="A27" s="104">
        <v>17</v>
      </c>
      <c r="B27" s="105" t="s">
        <v>99</v>
      </c>
      <c r="C27" s="156" t="s">
        <v>98</v>
      </c>
      <c r="D27" s="106" t="s">
        <v>68</v>
      </c>
      <c r="E27" s="107"/>
      <c r="F27" s="107"/>
    </row>
    <row r="28" spans="1:6" ht="42" customHeight="1">
      <c r="A28" s="104">
        <v>18</v>
      </c>
      <c r="B28" s="105" t="s">
        <v>100</v>
      </c>
      <c r="C28" s="99" t="s">
        <v>101</v>
      </c>
      <c r="D28" s="106" t="s">
        <v>68</v>
      </c>
      <c r="E28" s="107"/>
      <c r="F28" s="107"/>
    </row>
    <row r="29" spans="1:6" ht="42" customHeight="1">
      <c r="A29" s="104">
        <v>19</v>
      </c>
      <c r="B29" s="105" t="s">
        <v>102</v>
      </c>
      <c r="C29" s="158" t="s">
        <v>103</v>
      </c>
      <c r="D29" s="106" t="s">
        <v>73</v>
      </c>
      <c r="E29" s="107"/>
      <c r="F29" s="107"/>
    </row>
    <row r="30" spans="1:6" ht="42" customHeight="1">
      <c r="A30" s="104">
        <v>20</v>
      </c>
      <c r="B30" s="105" t="s">
        <v>104</v>
      </c>
      <c r="C30" s="156" t="s">
        <v>105</v>
      </c>
      <c r="D30" s="106" t="s">
        <v>68</v>
      </c>
      <c r="E30" s="107"/>
      <c r="F30" s="107"/>
    </row>
    <row r="31" spans="1:6" ht="42" customHeight="1">
      <c r="A31" s="104">
        <v>21</v>
      </c>
      <c r="B31" s="105" t="s">
        <v>106</v>
      </c>
      <c r="C31" s="156" t="s">
        <v>107</v>
      </c>
      <c r="D31" s="106" t="s">
        <v>68</v>
      </c>
      <c r="E31" s="107"/>
      <c r="F31" s="110"/>
    </row>
    <row r="32" spans="1:6" ht="42" customHeight="1">
      <c r="A32" s="104">
        <v>22</v>
      </c>
      <c r="B32" s="105" t="s">
        <v>108</v>
      </c>
      <c r="C32" s="99" t="s">
        <v>109</v>
      </c>
      <c r="D32" s="106" t="s">
        <v>73</v>
      </c>
      <c r="E32" s="107"/>
      <c r="F32" s="107"/>
    </row>
    <row r="33" spans="1:6" ht="42" customHeight="1">
      <c r="A33" s="104">
        <v>23</v>
      </c>
      <c r="B33" s="105" t="s">
        <v>110</v>
      </c>
      <c r="C33" s="156" t="s">
        <v>111</v>
      </c>
      <c r="D33" s="106" t="s">
        <v>68</v>
      </c>
      <c r="E33" s="107"/>
      <c r="F33" s="113"/>
    </row>
    <row r="34" spans="1:6" ht="42" customHeight="1">
      <c r="A34" s="104">
        <v>24</v>
      </c>
      <c r="B34" s="105" t="s">
        <v>112</v>
      </c>
      <c r="C34" s="156" t="s">
        <v>113</v>
      </c>
      <c r="D34" s="106" t="s">
        <v>68</v>
      </c>
      <c r="E34" s="107"/>
      <c r="F34" s="110"/>
    </row>
    <row r="35" spans="1:6" ht="42" customHeight="1">
      <c r="A35" s="104">
        <v>25</v>
      </c>
      <c r="B35" s="105" t="s">
        <v>114</v>
      </c>
      <c r="C35" s="99" t="s">
        <v>115</v>
      </c>
      <c r="D35" s="106" t="s">
        <v>68</v>
      </c>
      <c r="E35" s="154">
        <v>0</v>
      </c>
      <c r="F35" s="107"/>
    </row>
    <row r="36" spans="1:6" ht="42" customHeight="1">
      <c r="A36" s="104">
        <v>26</v>
      </c>
      <c r="B36" s="105" t="s">
        <v>116</v>
      </c>
      <c r="C36" s="99" t="s">
        <v>117</v>
      </c>
      <c r="D36" s="106" t="s">
        <v>73</v>
      </c>
      <c r="E36" s="107"/>
      <c r="F36" s="107"/>
    </row>
    <row r="37" spans="1:6" ht="42" customHeight="1">
      <c r="A37" s="104">
        <v>27</v>
      </c>
      <c r="B37" s="105" t="s">
        <v>118</v>
      </c>
      <c r="C37" s="99" t="s">
        <v>119</v>
      </c>
      <c r="D37" s="106" t="s">
        <v>73</v>
      </c>
      <c r="E37" s="107"/>
      <c r="F37" s="107"/>
    </row>
    <row r="38" spans="1:6" ht="42" customHeight="1">
      <c r="A38" s="104">
        <v>28</v>
      </c>
      <c r="B38" s="105" t="s">
        <v>120</v>
      </c>
      <c r="C38" s="99" t="s">
        <v>121</v>
      </c>
      <c r="D38" s="106" t="s">
        <v>68</v>
      </c>
      <c r="E38" s="107"/>
      <c r="F38" s="107"/>
    </row>
    <row r="39" spans="1:6" ht="42" customHeight="1">
      <c r="A39" s="104">
        <v>29</v>
      </c>
      <c r="B39" s="105" t="s">
        <v>122</v>
      </c>
      <c r="C39" s="158" t="s">
        <v>123</v>
      </c>
      <c r="D39" s="106" t="s">
        <v>73</v>
      </c>
      <c r="E39" s="107">
        <v>0</v>
      </c>
      <c r="F39" s="107"/>
    </row>
    <row r="40" spans="1:6" ht="42" customHeight="1">
      <c r="A40" s="104">
        <v>30</v>
      </c>
      <c r="B40" s="105" t="s">
        <v>124</v>
      </c>
      <c r="C40" s="99" t="s">
        <v>125</v>
      </c>
      <c r="D40" s="106" t="s">
        <v>68</v>
      </c>
      <c r="E40" s="107"/>
      <c r="F40" s="107"/>
    </row>
    <row r="41" spans="1:6" ht="42" customHeight="1">
      <c r="A41" s="104">
        <v>31</v>
      </c>
      <c r="B41" s="105" t="s">
        <v>126</v>
      </c>
      <c r="C41" s="114" t="s">
        <v>127</v>
      </c>
      <c r="D41" s="106" t="s">
        <v>68</v>
      </c>
      <c r="E41" s="107"/>
      <c r="F41" s="107"/>
    </row>
    <row r="42" spans="1:6" ht="42" customHeight="1">
      <c r="A42" s="104">
        <v>32</v>
      </c>
      <c r="B42" s="105" t="s">
        <v>128</v>
      </c>
      <c r="C42" s="157" t="s">
        <v>129</v>
      </c>
      <c r="D42" s="106" t="s">
        <v>73</v>
      </c>
      <c r="E42" s="107"/>
      <c r="F42" s="107"/>
    </row>
    <row r="43" spans="1:6" ht="42" customHeight="1">
      <c r="A43" s="104">
        <v>33</v>
      </c>
      <c r="B43" s="105" t="s">
        <v>130</v>
      </c>
      <c r="C43" s="115" t="s">
        <v>131</v>
      </c>
      <c r="D43" s="106" t="s">
        <v>73</v>
      </c>
      <c r="E43" s="107"/>
      <c r="F43" s="107"/>
    </row>
    <row r="44" spans="1:6" ht="42" customHeight="1">
      <c r="A44" s="104">
        <v>34</v>
      </c>
      <c r="B44" s="105" t="s">
        <v>132</v>
      </c>
      <c r="C44" s="159" t="s">
        <v>133</v>
      </c>
      <c r="D44" s="106" t="s">
        <v>68</v>
      </c>
      <c r="E44" s="107"/>
      <c r="F44" s="107"/>
    </row>
    <row r="45" spans="1:6" ht="42" customHeight="1">
      <c r="A45" s="104">
        <v>35</v>
      </c>
      <c r="B45" s="105" t="s">
        <v>134</v>
      </c>
      <c r="C45" s="158" t="s">
        <v>135</v>
      </c>
      <c r="D45" s="106" t="s">
        <v>73</v>
      </c>
      <c r="E45" s="107"/>
      <c r="F45" s="107"/>
    </row>
    <row r="46" spans="1:6" ht="42" customHeight="1">
      <c r="A46" s="104">
        <v>36</v>
      </c>
      <c r="B46" s="116" t="s">
        <v>136</v>
      </c>
      <c r="C46" s="99" t="s">
        <v>137</v>
      </c>
      <c r="D46" s="106" t="s">
        <v>68</v>
      </c>
      <c r="E46" s="107"/>
      <c r="F46" s="107"/>
    </row>
    <row r="47" spans="1:6" ht="42" customHeight="1">
      <c r="A47" s="104">
        <v>37</v>
      </c>
      <c r="B47" s="116" t="s">
        <v>138</v>
      </c>
      <c r="C47" s="158" t="s">
        <v>139</v>
      </c>
      <c r="D47" s="106" t="s">
        <v>73</v>
      </c>
      <c r="E47" s="107"/>
      <c r="F47" s="107"/>
    </row>
    <row r="48" spans="1:6" ht="42" customHeight="1">
      <c r="A48" s="104">
        <v>38</v>
      </c>
      <c r="B48" s="116" t="s">
        <v>138</v>
      </c>
      <c r="C48" s="99" t="s">
        <v>140</v>
      </c>
      <c r="D48" s="106" t="s">
        <v>68</v>
      </c>
      <c r="E48" s="107"/>
      <c r="F48" s="107"/>
    </row>
    <row r="49" spans="1:6" ht="42" customHeight="1">
      <c r="A49" s="104">
        <v>39</v>
      </c>
      <c r="B49" s="116" t="s">
        <v>141</v>
      </c>
      <c r="C49" s="99" t="s">
        <v>142</v>
      </c>
      <c r="D49" s="106" t="s">
        <v>73</v>
      </c>
      <c r="E49" s="107"/>
      <c r="F49" s="107"/>
    </row>
    <row r="50" spans="1:6" ht="42" customHeight="1">
      <c r="A50" s="104">
        <v>40</v>
      </c>
      <c r="B50" s="116" t="s">
        <v>143</v>
      </c>
      <c r="C50" s="99" t="s">
        <v>144</v>
      </c>
      <c r="D50" s="106" t="s">
        <v>73</v>
      </c>
      <c r="E50" s="107"/>
      <c r="F50" s="107"/>
    </row>
    <row r="51" spans="1:6" ht="42" customHeight="1">
      <c r="A51" s="104">
        <v>41</v>
      </c>
      <c r="B51" s="116" t="s">
        <v>145</v>
      </c>
      <c r="C51" s="156" t="s">
        <v>146</v>
      </c>
      <c r="D51" s="106" t="s">
        <v>68</v>
      </c>
      <c r="E51" s="107"/>
      <c r="F51" s="107"/>
    </row>
    <row r="52" spans="1:6" ht="42" customHeight="1">
      <c r="A52" s="104">
        <v>42</v>
      </c>
      <c r="B52" s="116" t="s">
        <v>147</v>
      </c>
      <c r="C52" s="99" t="s">
        <v>148</v>
      </c>
      <c r="D52" s="106" t="s">
        <v>73</v>
      </c>
      <c r="E52" s="107"/>
      <c r="F52" s="107"/>
    </row>
    <row r="53" spans="1:6" ht="42" customHeight="1">
      <c r="A53" s="104">
        <v>43</v>
      </c>
      <c r="B53" s="116" t="s">
        <v>149</v>
      </c>
      <c r="C53" s="99" t="s">
        <v>150</v>
      </c>
      <c r="D53" s="106" t="s">
        <v>68</v>
      </c>
      <c r="E53" s="107"/>
      <c r="F53" s="107"/>
    </row>
    <row r="54" spans="1:6" ht="42" customHeight="1">
      <c r="A54" s="104">
        <v>44</v>
      </c>
      <c r="B54" s="116" t="s">
        <v>151</v>
      </c>
      <c r="C54" s="99" t="s">
        <v>152</v>
      </c>
      <c r="D54" s="106" t="s">
        <v>68</v>
      </c>
      <c r="E54" s="107"/>
      <c r="F54" s="107"/>
    </row>
    <row r="55" spans="1:6" ht="42" customHeight="1">
      <c r="A55" s="104">
        <v>45</v>
      </c>
      <c r="B55" s="116" t="s">
        <v>153</v>
      </c>
      <c r="C55" s="156" t="s">
        <v>154</v>
      </c>
      <c r="D55" s="106" t="s">
        <v>68</v>
      </c>
      <c r="E55" s="107"/>
      <c r="F55" s="107"/>
    </row>
    <row r="56" spans="1:6" ht="42" customHeight="1">
      <c r="A56" s="104">
        <v>46</v>
      </c>
      <c r="B56" s="116" t="s">
        <v>155</v>
      </c>
      <c r="C56" s="156" t="s">
        <v>156</v>
      </c>
      <c r="D56" s="106" t="s">
        <v>68</v>
      </c>
      <c r="E56" s="107"/>
      <c r="F56" s="107"/>
    </row>
    <row r="57" spans="1:6" ht="42" customHeight="1">
      <c r="A57" s="104">
        <v>47</v>
      </c>
      <c r="B57" s="116" t="s">
        <v>157</v>
      </c>
      <c r="C57" s="99" t="s">
        <v>158</v>
      </c>
      <c r="D57" s="106" t="s">
        <v>68</v>
      </c>
      <c r="E57" s="107"/>
      <c r="F57" s="107"/>
    </row>
    <row r="58" spans="1:6" ht="42" customHeight="1">
      <c r="A58" s="104">
        <v>48</v>
      </c>
      <c r="B58" s="116" t="s">
        <v>159</v>
      </c>
      <c r="C58" s="156" t="s">
        <v>160</v>
      </c>
      <c r="D58" s="106" t="s">
        <v>68</v>
      </c>
      <c r="E58" s="107"/>
      <c r="F58" s="107"/>
    </row>
    <row r="59" spans="1:6" ht="42" customHeight="1">
      <c r="A59" s="104">
        <v>49</v>
      </c>
      <c r="B59" s="116" t="s">
        <v>161</v>
      </c>
      <c r="C59" s="99" t="s">
        <v>162</v>
      </c>
      <c r="D59" s="106" t="s">
        <v>68</v>
      </c>
      <c r="E59" s="107"/>
      <c r="F59" s="107"/>
    </row>
    <row r="60" spans="1:6" ht="42" customHeight="1">
      <c r="A60" s="104">
        <v>50</v>
      </c>
      <c r="B60" s="116" t="s">
        <v>163</v>
      </c>
      <c r="C60" s="156" t="s">
        <v>164</v>
      </c>
      <c r="D60" s="106" t="s">
        <v>68</v>
      </c>
      <c r="E60" s="107"/>
      <c r="F60" s="107"/>
    </row>
    <row r="61" spans="1:6" ht="42" customHeight="1">
      <c r="A61" s="104">
        <v>51</v>
      </c>
      <c r="B61" s="116" t="s">
        <v>165</v>
      </c>
      <c r="C61" s="99"/>
      <c r="D61" s="106" t="s">
        <v>73</v>
      </c>
      <c r="E61" s="107">
        <v>84</v>
      </c>
      <c r="F61" s="107"/>
    </row>
    <row r="62" spans="1:6" ht="42" customHeight="1">
      <c r="A62" s="104">
        <v>52</v>
      </c>
      <c r="B62" s="116" t="s">
        <v>166</v>
      </c>
      <c r="C62" s="99"/>
      <c r="D62" s="106" t="s">
        <v>68</v>
      </c>
      <c r="E62" s="107"/>
      <c r="F62" s="107"/>
    </row>
    <row r="63" spans="1:6" ht="42" customHeight="1">
      <c r="A63" s="92"/>
      <c r="B63" s="98" t="s">
        <v>167</v>
      </c>
      <c r="C63" s="99"/>
      <c r="D63" s="117"/>
      <c r="E63" s="118">
        <f>+E12+E14+E15+E16+E21+E23+E29+E32+E36+E37+E39+E42+E43+E47+E49+E50+E52+E61</f>
        <v>30540</v>
      </c>
      <c r="F63" s="118"/>
    </row>
    <row r="64" spans="1:6" ht="42" customHeight="1">
      <c r="A64" s="92"/>
      <c r="B64" s="119" t="s">
        <v>168</v>
      </c>
      <c r="C64" s="120"/>
      <c r="D64" s="121"/>
      <c r="E64" s="118">
        <f>+E10+E13+E17+E18+E19+E20+E22+E24+E26+E27+E28+E30+E31+E33+E34+E35+E38+E40+E41+E44+E46+E48+E51+E53+E54+E55+E56+E57+E58+E59+E60+E62</f>
        <v>33024</v>
      </c>
      <c r="F64" s="118"/>
    </row>
    <row r="65" spans="1:7" ht="42" customHeight="1">
      <c r="A65" s="92"/>
      <c r="B65" s="121" t="s">
        <v>169</v>
      </c>
      <c r="C65" s="99" t="s">
        <v>170</v>
      </c>
      <c r="D65" s="117"/>
      <c r="E65" s="118">
        <f>SUM(E8+E63-E64)</f>
        <v>25259.999999999985</v>
      </c>
      <c r="F65" s="118"/>
    </row>
    <row r="66" spans="1:7" ht="53.25" customHeight="1">
      <c r="A66" s="92"/>
      <c r="B66" s="121" t="s">
        <v>171</v>
      </c>
      <c r="C66" s="122" t="s">
        <v>172</v>
      </c>
      <c r="D66" s="117"/>
      <c r="E66" s="118">
        <v>0</v>
      </c>
      <c r="F66" s="118"/>
    </row>
    <row r="67" spans="1:7" ht="42" customHeight="1">
      <c r="A67" s="92"/>
      <c r="B67" s="116" t="s">
        <v>173</v>
      </c>
      <c r="C67" s="120"/>
      <c r="D67" s="117"/>
      <c r="E67" s="107">
        <f>+E66</f>
        <v>0</v>
      </c>
      <c r="F67" s="118"/>
    </row>
    <row r="68" spans="1:7" ht="42" customHeight="1">
      <c r="A68" s="92"/>
      <c r="B68" s="123" t="s">
        <v>174</v>
      </c>
      <c r="C68" s="120"/>
      <c r="D68" s="117"/>
      <c r="E68" s="118">
        <f>IF((E66-E67)&gt;0,E66-E67,0)</f>
        <v>0</v>
      </c>
      <c r="F68" s="118"/>
    </row>
    <row r="69" spans="1:7" ht="42" customHeight="1">
      <c r="A69" s="92"/>
      <c r="B69" s="121" t="s">
        <v>175</v>
      </c>
      <c r="C69" s="120"/>
      <c r="D69" s="117"/>
      <c r="E69" s="118">
        <f>ROUND(E67*0.1,0)+ROUND(E68*0.19,0)</f>
        <v>0</v>
      </c>
      <c r="F69" s="118"/>
    </row>
    <row r="70" spans="1:7" ht="42" customHeight="1">
      <c r="A70" s="92"/>
      <c r="B70" s="121" t="s">
        <v>176</v>
      </c>
      <c r="C70" s="99" t="s">
        <v>177</v>
      </c>
      <c r="D70" s="117"/>
      <c r="E70" s="118">
        <f>+E65</f>
        <v>25259.999999999985</v>
      </c>
      <c r="F70" s="118"/>
    </row>
    <row r="71" spans="1:7" ht="42" customHeight="1">
      <c r="A71" s="92"/>
      <c r="B71" s="123" t="s">
        <v>236</v>
      </c>
      <c r="C71" s="120"/>
      <c r="D71" s="117"/>
      <c r="E71" s="118">
        <f>IF(E70&lt;250001,IF(E70&lt;0,0,E70),250000)</f>
        <v>25259.999999999985</v>
      </c>
      <c r="F71" s="118"/>
      <c r="G71">
        <f>+E71*0.5</f>
        <v>12629.999999999993</v>
      </c>
    </row>
    <row r="72" spans="1:7" ht="42" customHeight="1">
      <c r="A72" s="92"/>
      <c r="B72" s="123" t="s">
        <v>174</v>
      </c>
      <c r="C72" s="120"/>
      <c r="D72" s="117"/>
      <c r="E72" s="118">
        <f>IF(E70&gt;250000,E70-250000,0)</f>
        <v>0</v>
      </c>
      <c r="F72" s="118"/>
    </row>
    <row r="73" spans="1:7" ht="42" customHeight="1">
      <c r="A73" s="92"/>
      <c r="B73" s="121" t="s">
        <v>178</v>
      </c>
      <c r="C73" s="120"/>
      <c r="D73" s="117"/>
      <c r="E73" s="118">
        <f>+E71*0.09</f>
        <v>2273.3999999999987</v>
      </c>
      <c r="F73" s="118"/>
    </row>
    <row r="74" spans="1:7" ht="42" customHeight="1">
      <c r="A74" s="92"/>
      <c r="B74" s="124" t="s">
        <v>179</v>
      </c>
      <c r="C74" s="125"/>
      <c r="D74" s="100"/>
      <c r="E74" s="118">
        <f>E69+E73</f>
        <v>2273.3999999999987</v>
      </c>
      <c r="F74" s="118"/>
    </row>
    <row r="75" spans="1:7" ht="42" customHeight="1">
      <c r="A75" s="92"/>
      <c r="B75" s="126" t="s">
        <v>180</v>
      </c>
      <c r="C75" s="99"/>
      <c r="D75" s="127" t="s">
        <v>181</v>
      </c>
      <c r="E75" s="101">
        <v>0</v>
      </c>
      <c r="F75" s="101"/>
    </row>
    <row r="76" spans="1:7" ht="42" customHeight="1">
      <c r="A76" s="92"/>
      <c r="B76" s="126" t="s">
        <v>182</v>
      </c>
      <c r="C76" s="99" t="s">
        <v>183</v>
      </c>
      <c r="D76" s="127" t="s">
        <v>181</v>
      </c>
      <c r="E76" s="101">
        <f>+E71*eredmény!L7*0.09</f>
        <v>2236.6894144786338</v>
      </c>
      <c r="F76" s="101"/>
    </row>
    <row r="77" spans="1:7" ht="42" customHeight="1">
      <c r="A77" s="92"/>
      <c r="B77" s="121" t="s">
        <v>184</v>
      </c>
      <c r="C77" s="120"/>
      <c r="D77" s="117"/>
      <c r="E77" s="118">
        <f>IF(SUM(E74-E75-E76)&lt;0,0,SUM(E74-E75-E76))</f>
        <v>36.710585521364919</v>
      </c>
      <c r="F77" s="118"/>
    </row>
    <row r="78" spans="1:7" ht="42" customHeight="1">
      <c r="A78" s="92"/>
      <c r="B78" s="121" t="s">
        <v>185</v>
      </c>
      <c r="C78" s="120"/>
      <c r="D78" s="117"/>
      <c r="E78" s="128">
        <f>E8-E77</f>
        <v>27707.289414478619</v>
      </c>
      <c r="F78" s="128"/>
    </row>
  </sheetData>
  <mergeCells count="7">
    <mergeCell ref="A7:B7"/>
    <mergeCell ref="A8:B8"/>
    <mergeCell ref="A9:B9"/>
    <mergeCell ref="A2:F2"/>
    <mergeCell ref="A3:F3"/>
    <mergeCell ref="A4:F4"/>
    <mergeCell ref="C6:F6"/>
  </mergeCells>
  <phoneticPr fontId="36" type="noConversion"/>
  <pageMargins left="0.74803149606299213" right="0.74803149606299213" top="0.98425196850393704" bottom="0.98425196850393704" header="0.51181102362204722" footer="0.51181102362204722"/>
  <pageSetup paperSize="9" scale="52" fitToHeight="3" orientation="portrait" horizontalDpi="0" verticalDpi="0"/>
  <headerFooter alignWithMargins="0"/>
  <rowBreaks count="2" manualBreakCount="2">
    <brk id="34" max="5" man="1"/>
    <brk id="61" max="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E345E6-3826-6746-9DD0-BB8E13D590CC}">
  <sheetPr>
    <pageSetUpPr fitToPage="1"/>
  </sheetPr>
  <dimension ref="A1:F29"/>
  <sheetViews>
    <sheetView view="pageBreakPreview" topLeftCell="A19" zoomScale="75" zoomScaleNormal="100" workbookViewId="0">
      <selection activeCell="F27" sqref="F27"/>
    </sheetView>
  </sheetViews>
  <sheetFormatPr baseColWidth="10" defaultRowHeight="13"/>
  <cols>
    <col min="1" max="1" width="8.83203125" customWidth="1"/>
    <col min="2" max="2" width="55.6640625" customWidth="1"/>
    <col min="3" max="3" width="12.83203125" customWidth="1"/>
    <col min="4" max="4" width="12.33203125" customWidth="1"/>
    <col min="5" max="5" width="8.83203125" customWidth="1"/>
    <col min="6" max="6" width="14.5" customWidth="1"/>
    <col min="7" max="256" width="8.83203125" customWidth="1"/>
  </cols>
  <sheetData>
    <row r="1" spans="1:6" ht="16">
      <c r="A1" s="129"/>
      <c r="B1" s="30"/>
      <c r="C1" s="30"/>
      <c r="D1" s="30"/>
      <c r="E1" s="130"/>
      <c r="F1" s="131"/>
    </row>
    <row r="2" spans="1:6" ht="21">
      <c r="A2" s="230" t="s">
        <v>186</v>
      </c>
      <c r="B2" s="230"/>
      <c r="C2" s="230"/>
      <c r="D2" s="230"/>
      <c r="E2" s="230"/>
      <c r="F2" s="230"/>
    </row>
    <row r="3" spans="1:6" ht="16">
      <c r="A3" s="231" t="s">
        <v>187</v>
      </c>
      <c r="B3" s="231"/>
      <c r="C3" s="231"/>
      <c r="D3" s="231"/>
      <c r="E3" s="231"/>
      <c r="F3" s="231"/>
    </row>
    <row r="4" spans="1:6" ht="16">
      <c r="A4" s="129"/>
      <c r="B4" s="30"/>
      <c r="C4" s="30"/>
      <c r="D4" s="30"/>
      <c r="E4" s="130"/>
      <c r="F4" s="132"/>
    </row>
    <row r="5" spans="1:6" ht="16">
      <c r="A5" s="129"/>
      <c r="B5" s="129"/>
      <c r="C5" s="129"/>
      <c r="D5" s="129"/>
      <c r="E5" s="133"/>
      <c r="F5" s="134" t="s">
        <v>188</v>
      </c>
    </row>
    <row r="6" spans="1:6" ht="34">
      <c r="A6" s="232" t="s">
        <v>61</v>
      </c>
      <c r="B6" s="232"/>
      <c r="C6" s="232"/>
      <c r="D6" s="135" t="s">
        <v>20</v>
      </c>
      <c r="E6" s="135"/>
      <c r="F6" s="136" t="s">
        <v>189</v>
      </c>
    </row>
    <row r="7" spans="1:6" ht="34">
      <c r="A7" s="233" t="s">
        <v>190</v>
      </c>
      <c r="B7" s="234" t="s">
        <v>191</v>
      </c>
      <c r="C7" s="234"/>
      <c r="D7" s="135" t="s">
        <v>192</v>
      </c>
      <c r="E7" s="138"/>
      <c r="F7" s="139">
        <f>+eredmény!K4</f>
        <v>198405</v>
      </c>
    </row>
    <row r="8" spans="1:6" ht="35" customHeight="1">
      <c r="A8" s="233"/>
      <c r="B8" s="234" t="s">
        <v>193</v>
      </c>
      <c r="C8" s="234"/>
      <c r="D8" s="135" t="s">
        <v>194</v>
      </c>
      <c r="E8" s="138"/>
      <c r="F8" s="139">
        <f>+eredmény!K6</f>
        <v>268034</v>
      </c>
    </row>
    <row r="9" spans="1:6" ht="34">
      <c r="A9" s="233"/>
      <c r="B9" s="234" t="s">
        <v>195</v>
      </c>
      <c r="C9" s="234"/>
      <c r="D9" s="135" t="s">
        <v>196</v>
      </c>
      <c r="E9" s="138"/>
      <c r="F9" s="139">
        <f>+eredmény!K26</f>
        <v>0</v>
      </c>
    </row>
    <row r="10" spans="1:6" ht="53" customHeight="1">
      <c r="A10" s="233"/>
      <c r="B10" s="234" t="s">
        <v>197</v>
      </c>
      <c r="C10" s="234"/>
      <c r="D10" s="135" t="s">
        <v>198</v>
      </c>
      <c r="E10" s="138"/>
      <c r="F10" s="139">
        <f>+eredmény!K32</f>
        <v>0</v>
      </c>
    </row>
    <row r="11" spans="1:6" ht="35" customHeight="1">
      <c r="A11" s="233"/>
      <c r="B11" s="229" t="s">
        <v>199</v>
      </c>
      <c r="C11" s="229"/>
      <c r="D11" s="135" t="s">
        <v>200</v>
      </c>
      <c r="E11" s="138"/>
      <c r="F11" s="140">
        <f>SUM(F7:F10)</f>
        <v>466439</v>
      </c>
    </row>
    <row r="12" spans="1:6" ht="35" customHeight="1">
      <c r="A12" s="129"/>
      <c r="B12" s="141"/>
      <c r="C12" s="141"/>
      <c r="D12" s="141"/>
      <c r="E12" s="133"/>
      <c r="F12" s="142"/>
    </row>
    <row r="13" spans="1:6" ht="133" customHeight="1">
      <c r="A13" s="233" t="s">
        <v>201</v>
      </c>
      <c r="B13" s="234" t="s">
        <v>202</v>
      </c>
      <c r="C13" s="234"/>
      <c r="D13" s="135" t="s">
        <v>203</v>
      </c>
      <c r="E13" s="143" t="s">
        <v>73</v>
      </c>
      <c r="F13" s="139"/>
    </row>
    <row r="14" spans="1:6" ht="85" customHeight="1">
      <c r="A14" s="233"/>
      <c r="B14" s="234" t="s">
        <v>204</v>
      </c>
      <c r="C14" s="234"/>
      <c r="D14" s="135" t="s">
        <v>205</v>
      </c>
      <c r="E14" s="143" t="s">
        <v>73</v>
      </c>
      <c r="F14" s="139"/>
    </row>
    <row r="15" spans="1:6" ht="35" customHeight="1">
      <c r="A15" s="233"/>
      <c r="B15" s="229" t="s">
        <v>206</v>
      </c>
      <c r="C15" s="229"/>
      <c r="D15" s="135"/>
      <c r="E15" s="138" t="s">
        <v>73</v>
      </c>
      <c r="F15" s="140">
        <f>+F13+F14</f>
        <v>0</v>
      </c>
    </row>
    <row r="16" spans="1:6" ht="35" customHeight="1">
      <c r="A16" s="129"/>
      <c r="B16" s="141"/>
      <c r="C16" s="141"/>
      <c r="D16" s="144"/>
      <c r="E16" s="133"/>
      <c r="F16" s="142"/>
    </row>
    <row r="17" spans="1:6" ht="35" customHeight="1">
      <c r="A17" s="233" t="s">
        <v>207</v>
      </c>
      <c r="B17" s="234" t="s">
        <v>208</v>
      </c>
      <c r="C17" s="234"/>
      <c r="D17" s="135" t="s">
        <v>209</v>
      </c>
      <c r="E17" s="143" t="s">
        <v>68</v>
      </c>
      <c r="F17" s="145">
        <v>0</v>
      </c>
    </row>
    <row r="18" spans="1:6" ht="35" customHeight="1">
      <c r="A18" s="233"/>
      <c r="B18" s="234" t="s">
        <v>210</v>
      </c>
      <c r="C18" s="234"/>
      <c r="D18" s="135" t="s">
        <v>209</v>
      </c>
      <c r="E18" s="143" t="s">
        <v>68</v>
      </c>
      <c r="F18" s="145">
        <f>[3]Hivatkozasok!B9</f>
        <v>0</v>
      </c>
    </row>
    <row r="19" spans="1:6" ht="51" customHeight="1">
      <c r="A19" s="233"/>
      <c r="B19" s="234" t="s">
        <v>211</v>
      </c>
      <c r="C19" s="234"/>
      <c r="D19" s="135" t="s">
        <v>212</v>
      </c>
      <c r="E19" s="143" t="s">
        <v>68</v>
      </c>
      <c r="F19" s="145"/>
    </row>
    <row r="20" spans="1:6" ht="38" customHeight="1">
      <c r="A20" s="233"/>
      <c r="B20" s="234" t="s">
        <v>213</v>
      </c>
      <c r="C20" s="234"/>
      <c r="D20" s="135" t="s">
        <v>214</v>
      </c>
      <c r="E20" s="143" t="s">
        <v>68</v>
      </c>
      <c r="F20" s="145"/>
    </row>
    <row r="21" spans="1:6" ht="51" customHeight="1">
      <c r="A21" s="233"/>
      <c r="B21" s="234" t="s">
        <v>215</v>
      </c>
      <c r="C21" s="234"/>
      <c r="D21" s="135" t="s">
        <v>216</v>
      </c>
      <c r="E21" s="143" t="s">
        <v>68</v>
      </c>
      <c r="F21" s="145"/>
    </row>
    <row r="22" spans="1:6" ht="35" customHeight="1">
      <c r="A22" s="233"/>
      <c r="B22" s="229" t="s">
        <v>217</v>
      </c>
      <c r="C22" s="229"/>
      <c r="D22" s="135"/>
      <c r="E22" s="138" t="s">
        <v>68</v>
      </c>
      <c r="F22" s="140">
        <f>SUM(F17:F21)</f>
        <v>0</v>
      </c>
    </row>
    <row r="23" spans="1:6" ht="119" customHeight="1">
      <c r="A23" s="137"/>
      <c r="B23" s="229" t="s">
        <v>218</v>
      </c>
      <c r="C23" s="229"/>
      <c r="D23" s="135"/>
      <c r="E23" s="146"/>
      <c r="F23" s="140">
        <f>+IF(+F11+F15-F22&lt;=0,0,+F11+F15-F22)</f>
        <v>466439</v>
      </c>
    </row>
    <row r="24" spans="1:6" ht="35" customHeight="1">
      <c r="A24" s="137"/>
      <c r="B24" s="234" t="s">
        <v>63</v>
      </c>
      <c r="C24" s="234"/>
      <c r="D24" s="135" t="s">
        <v>219</v>
      </c>
      <c r="E24" s="143"/>
      <c r="F24" s="139">
        <f>+eredmény!K35</f>
        <v>27743.999999999985</v>
      </c>
    </row>
    <row r="25" spans="1:6" ht="35" customHeight="1">
      <c r="A25" s="137"/>
      <c r="B25" s="234" t="s">
        <v>220</v>
      </c>
      <c r="C25" s="234"/>
      <c r="D25" s="135" t="s">
        <v>221</v>
      </c>
      <c r="E25" s="143"/>
      <c r="F25" s="139">
        <f>+ta!E65</f>
        <v>25259.999999999985</v>
      </c>
    </row>
    <row r="26" spans="1:6" ht="35" customHeight="1">
      <c r="A26" s="137"/>
      <c r="B26" s="229" t="s">
        <v>222</v>
      </c>
      <c r="C26" s="229"/>
      <c r="D26" s="135" t="s">
        <v>223</v>
      </c>
      <c r="E26" s="138"/>
      <c r="F26" s="140">
        <f>+IF(F23&lt;0,0,+F23*2%)</f>
        <v>9328.7800000000007</v>
      </c>
    </row>
    <row r="27" spans="1:6" ht="35" customHeight="1">
      <c r="A27" s="137"/>
      <c r="B27" s="229" t="s">
        <v>224</v>
      </c>
      <c r="C27" s="229"/>
      <c r="D27" s="135"/>
      <c r="E27" s="138"/>
      <c r="F27" s="145">
        <f>+F26*0.09</f>
        <v>839.59019999999998</v>
      </c>
    </row>
    <row r="28" spans="1:6" ht="35" customHeight="1">
      <c r="A28" s="137"/>
      <c r="B28" s="229" t="s">
        <v>225</v>
      </c>
      <c r="C28" s="229"/>
      <c r="D28" s="135"/>
      <c r="E28" s="138"/>
      <c r="F28" s="140">
        <f>+IF(OR(F27&gt;F26,F27&lt;0,OR(F24&gt;F26,F25&gt;F26)),0,F26-F27)</f>
        <v>0</v>
      </c>
    </row>
    <row r="29" spans="1:6" ht="163" customHeight="1">
      <c r="A29" s="147"/>
      <c r="B29" s="148" t="s">
        <v>226</v>
      </c>
      <c r="C29" s="149" t="str">
        <f>IF(OR(F24&gt;F26,F25&gt;F26),"AZ ADÓT NEM JÖVEDELEM-(NYERESÉG) minimum alapján határozza meg !","")</f>
        <v>AZ ADÓT NEM JÖVEDELEM-(NYERESÉG) minimum alapján határozza meg !</v>
      </c>
      <c r="D29" s="150"/>
      <c r="E29" s="151"/>
      <c r="F29" s="152">
        <f>IF(OR(F24&gt;F26,F25&gt;F26,F27&lt;0,G27&lt;&gt;""),0,F27*10%+F28*16%)</f>
        <v>0</v>
      </c>
    </row>
  </sheetData>
  <mergeCells count="26">
    <mergeCell ref="B28:C28"/>
    <mergeCell ref="B22:C22"/>
    <mergeCell ref="B23:C23"/>
    <mergeCell ref="B24:C24"/>
    <mergeCell ref="B25:C25"/>
    <mergeCell ref="B26:C26"/>
    <mergeCell ref="B27:C27"/>
    <mergeCell ref="A17:A22"/>
    <mergeCell ref="B17:C17"/>
    <mergeCell ref="B18:C18"/>
    <mergeCell ref="B19:C19"/>
    <mergeCell ref="B20:C20"/>
    <mergeCell ref="B21:C21"/>
    <mergeCell ref="B15:C15"/>
    <mergeCell ref="A2:F2"/>
    <mergeCell ref="A3:F3"/>
    <mergeCell ref="A6:C6"/>
    <mergeCell ref="A7:A11"/>
    <mergeCell ref="B7:C7"/>
    <mergeCell ref="B8:C8"/>
    <mergeCell ref="B9:C9"/>
    <mergeCell ref="B10:C10"/>
    <mergeCell ref="B11:C11"/>
    <mergeCell ref="A13:A15"/>
    <mergeCell ref="B13:C13"/>
    <mergeCell ref="B14:C14"/>
  </mergeCells>
  <phoneticPr fontId="36" type="noConversion"/>
  <pageMargins left="0.74803149606299213" right="0.74803149606299213" top="0.98425196850393704" bottom="0.98425196850393704" header="0.51181102362204722" footer="0.51181102362204722"/>
  <pageSetup paperSize="9" scale="50" orientation="portrait" horizontalDpi="0" verticalDpi="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BDD59C-0F19-A34F-9308-E6CCCFE3CD9D}">
  <dimension ref="A1"/>
  <sheetViews>
    <sheetView workbookViewId="0"/>
  </sheetViews>
  <sheetFormatPr baseColWidth="10" defaultRowHeight="13"/>
  <cols>
    <col min="1" max="256" width="8.83203125" customWidth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Munkalapok</vt:lpstr>
      </vt:variant>
      <vt:variant>
        <vt:i4>5</vt:i4>
      </vt:variant>
      <vt:variant>
        <vt:lpstr>Névvel ellátott tartományok</vt:lpstr>
      </vt:variant>
      <vt:variant>
        <vt:i4>4</vt:i4>
      </vt:variant>
    </vt:vector>
  </HeadingPairs>
  <TitlesOfParts>
    <vt:vector size="9" baseType="lpstr">
      <vt:lpstr>eredmény</vt:lpstr>
      <vt:lpstr>iparűzési adó</vt:lpstr>
      <vt:lpstr>ta</vt:lpstr>
      <vt:lpstr>elvart</vt:lpstr>
      <vt:lpstr>Munka1</vt:lpstr>
      <vt:lpstr>elvart!Nyomtatási_cím</vt:lpstr>
      <vt:lpstr>ta!Nyomtatási_cím</vt:lpstr>
      <vt:lpstr>eredmény!Nyomtatási_terület</vt:lpstr>
      <vt:lpstr>ta!Nyomtatási_terület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Office3 Mogyoród</cp:lastModifiedBy>
  <cp:lastPrinted>2022-05-06T09:02:31Z</cp:lastPrinted>
  <dcterms:created xsi:type="dcterms:W3CDTF">2000-12-07T14:24:22Z</dcterms:created>
  <dcterms:modified xsi:type="dcterms:W3CDTF">2026-05-15T07:32:33Z</dcterms:modified>
</cp:coreProperties>
</file>