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hreadedComments/threadedComment2.xml" ContentType="application/vnd.ms-excel.threadedcomment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Lajos/Desktop/2024/2024/"/>
    </mc:Choice>
  </mc:AlternateContent>
  <xr:revisionPtr revIDLastSave="0" documentId="13_ncr:1_{0A920F35-4635-4240-ACDB-DB0F1ACD3D4D}" xr6:coauthVersionLast="47" xr6:coauthVersionMax="47" xr10:uidLastSave="{00000000-0000-0000-0000-000000000000}"/>
  <bookViews>
    <workbookView xWindow="27320" yWindow="500" windowWidth="33600" windowHeight="20500" tabRatio="571" xr2:uid="{00000000-000D-0000-FFFF-FFFF00000000}"/>
  </bookViews>
  <sheets>
    <sheet name="Pénzügyi terv" sheetId="15" r:id="rId1"/>
    <sheet name="Fejlesztési részletező" sheetId="16" r:id="rId2"/>
    <sheet name="Konyha" sheetId="17" r:id="rId3"/>
    <sheet name="Település üzemeltetés" sheetId="18" r:id="rId4"/>
    <sheet name="Temető" sheetId="19" r:id="rId5"/>
    <sheet name="Sportlétesítmények" sheetId="21" r:id="rId6"/>
  </sheets>
  <externalReferences>
    <externalReference r:id="rId7"/>
    <externalReference r:id="rId8"/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5" i="15" l="1"/>
  <c r="D125" i="15"/>
  <c r="H125" i="15"/>
  <c r="R125" i="15"/>
  <c r="L13" i="16"/>
  <c r="E8" i="16"/>
  <c r="F8" i="16" s="1"/>
  <c r="E7" i="16"/>
  <c r="F7" i="16" s="1"/>
  <c r="E6" i="16"/>
  <c r="F6" i="16" s="1"/>
  <c r="R155" i="15"/>
  <c r="R55" i="15"/>
  <c r="R74" i="15"/>
  <c r="Z74" i="15" s="1"/>
  <c r="AA74" i="15"/>
  <c r="AA75" i="15"/>
  <c r="Z75" i="15"/>
  <c r="F6" i="15"/>
  <c r="X17" i="21"/>
  <c r="W17" i="21"/>
  <c r="P16" i="21"/>
  <c r="O16" i="21"/>
  <c r="N16" i="21"/>
  <c r="M16" i="21"/>
  <c r="L16" i="21"/>
  <c r="K16" i="21"/>
  <c r="J16" i="21"/>
  <c r="I16" i="21"/>
  <c r="H16" i="21"/>
  <c r="R16" i="21" s="1"/>
  <c r="G16" i="21"/>
  <c r="Q16" i="21" s="1"/>
  <c r="F16" i="21"/>
  <c r="E16" i="21"/>
  <c r="D16" i="21"/>
  <c r="C16" i="21"/>
  <c r="B16" i="21"/>
  <c r="P15" i="21"/>
  <c r="O15" i="21"/>
  <c r="N15" i="21"/>
  <c r="M15" i="21"/>
  <c r="L15" i="21"/>
  <c r="K15" i="21"/>
  <c r="J15" i="21"/>
  <c r="I15" i="21"/>
  <c r="H15" i="21"/>
  <c r="R15" i="21" s="1"/>
  <c r="G15" i="21"/>
  <c r="Q15" i="21" s="1"/>
  <c r="F15" i="21"/>
  <c r="E15" i="21"/>
  <c r="D15" i="21"/>
  <c r="C15" i="21"/>
  <c r="B15" i="21"/>
  <c r="Q14" i="21"/>
  <c r="P14" i="21"/>
  <c r="O14" i="21"/>
  <c r="N14" i="21"/>
  <c r="M14" i="21"/>
  <c r="L14" i="21"/>
  <c r="K14" i="21"/>
  <c r="J14" i="21"/>
  <c r="I14" i="21"/>
  <c r="H14" i="21"/>
  <c r="R14" i="21" s="1"/>
  <c r="G14" i="21"/>
  <c r="F14" i="21"/>
  <c r="E14" i="21"/>
  <c r="D14" i="21"/>
  <c r="C14" i="21"/>
  <c r="B14" i="21"/>
  <c r="R13" i="21"/>
  <c r="P13" i="21"/>
  <c r="O13" i="21"/>
  <c r="N13" i="21"/>
  <c r="M13" i="21"/>
  <c r="L13" i="21"/>
  <c r="K13" i="21"/>
  <c r="J13" i="21"/>
  <c r="I13" i="21"/>
  <c r="H13" i="21"/>
  <c r="G13" i="21"/>
  <c r="Q13" i="21" s="1"/>
  <c r="F13" i="21"/>
  <c r="E13" i="21"/>
  <c r="D13" i="21"/>
  <c r="C13" i="21"/>
  <c r="B13" i="21"/>
  <c r="P12" i="21"/>
  <c r="O12" i="21"/>
  <c r="N12" i="21"/>
  <c r="M12" i="21"/>
  <c r="L12" i="21"/>
  <c r="K12" i="21"/>
  <c r="J12" i="21"/>
  <c r="I12" i="21"/>
  <c r="H12" i="21"/>
  <c r="R12" i="21" s="1"/>
  <c r="G12" i="21"/>
  <c r="Q12" i="21" s="1"/>
  <c r="F12" i="21"/>
  <c r="E12" i="21"/>
  <c r="D12" i="21"/>
  <c r="C12" i="21"/>
  <c r="B12" i="21"/>
  <c r="P11" i="21"/>
  <c r="O11" i="21"/>
  <c r="N11" i="21"/>
  <c r="M11" i="21"/>
  <c r="L11" i="21"/>
  <c r="Q11" i="21" s="1"/>
  <c r="K11" i="21"/>
  <c r="J11" i="21"/>
  <c r="I11" i="21"/>
  <c r="H11" i="21"/>
  <c r="R11" i="21" s="1"/>
  <c r="G11" i="21"/>
  <c r="F11" i="21"/>
  <c r="E11" i="21"/>
  <c r="D11" i="21"/>
  <c r="C11" i="21"/>
  <c r="B11" i="21"/>
  <c r="Q10" i="21"/>
  <c r="P10" i="21"/>
  <c r="O10" i="21"/>
  <c r="N10" i="21"/>
  <c r="M10" i="21"/>
  <c r="R10" i="21" s="1"/>
  <c r="L10" i="21"/>
  <c r="K10" i="21"/>
  <c r="J10" i="21"/>
  <c r="I10" i="21"/>
  <c r="H10" i="21"/>
  <c r="G10" i="21"/>
  <c r="F10" i="21"/>
  <c r="E10" i="21"/>
  <c r="D10" i="21"/>
  <c r="C10" i="21"/>
  <c r="B10" i="21"/>
  <c r="R9" i="21"/>
  <c r="P9" i="21"/>
  <c r="O9" i="21"/>
  <c r="N9" i="21"/>
  <c r="M9" i="21"/>
  <c r="L9" i="21"/>
  <c r="K9" i="21"/>
  <c r="J9" i="21"/>
  <c r="I9" i="21"/>
  <c r="H9" i="21"/>
  <c r="G9" i="21"/>
  <c r="Q9" i="21" s="1"/>
  <c r="F9" i="21"/>
  <c r="E9" i="21"/>
  <c r="D9" i="21"/>
  <c r="C9" i="21"/>
  <c r="B9" i="21"/>
  <c r="P8" i="21"/>
  <c r="O8" i="21"/>
  <c r="N8" i="21"/>
  <c r="N17" i="21" s="1"/>
  <c r="M8" i="21"/>
  <c r="L8" i="21"/>
  <c r="K8" i="21"/>
  <c r="J8" i="21"/>
  <c r="I8" i="21"/>
  <c r="H8" i="21"/>
  <c r="R8" i="21" s="1"/>
  <c r="G8" i="21"/>
  <c r="Q8" i="21" s="1"/>
  <c r="F8" i="21"/>
  <c r="E8" i="21"/>
  <c r="D8" i="21"/>
  <c r="C8" i="21"/>
  <c r="B8" i="21"/>
  <c r="Y7" i="21"/>
  <c r="Z7" i="21" s="1"/>
  <c r="U7" i="21"/>
  <c r="V7" i="21" s="1"/>
  <c r="S7" i="21"/>
  <c r="T7" i="21" s="1"/>
  <c r="AA7" i="21" s="1"/>
  <c r="P7" i="21"/>
  <c r="O7" i="21"/>
  <c r="Q7" i="21" s="1"/>
  <c r="K7" i="21"/>
  <c r="K17" i="21" s="1"/>
  <c r="J7" i="21"/>
  <c r="I7" i="21"/>
  <c r="H7" i="21"/>
  <c r="R7" i="21" s="1"/>
  <c r="G7" i="21"/>
  <c r="F7" i="21"/>
  <c r="F17" i="21" s="1"/>
  <c r="E7" i="21"/>
  <c r="D7" i="21"/>
  <c r="C7" i="21"/>
  <c r="B7" i="21"/>
  <c r="AC6" i="21"/>
  <c r="AB6" i="21"/>
  <c r="Z6" i="21"/>
  <c r="Y6" i="21"/>
  <c r="Y17" i="21" s="1"/>
  <c r="V6" i="21"/>
  <c r="U6" i="21"/>
  <c r="T6" i="21"/>
  <c r="AA6" i="21" s="1"/>
  <c r="S6" i="21"/>
  <c r="R6" i="21"/>
  <c r="P6" i="21"/>
  <c r="O6" i="21"/>
  <c r="J6" i="21"/>
  <c r="I6" i="21"/>
  <c r="H6" i="21"/>
  <c r="G6" i="21"/>
  <c r="Q6" i="21" s="1"/>
  <c r="E6" i="21"/>
  <c r="D6" i="21"/>
  <c r="C6" i="21"/>
  <c r="B6" i="21"/>
  <c r="AC5" i="21"/>
  <c r="AC17" i="21" s="1"/>
  <c r="AB5" i="21"/>
  <c r="AB17" i="21" s="1"/>
  <c r="Z5" i="21"/>
  <c r="Z17" i="21" s="1"/>
  <c r="V5" i="21"/>
  <c r="V17" i="21" s="1"/>
  <c r="U5" i="21"/>
  <c r="U17" i="21" s="1"/>
  <c r="T5" i="21"/>
  <c r="T17" i="21" s="1"/>
  <c r="S5" i="21"/>
  <c r="S17" i="21" s="1"/>
  <c r="P5" i="21"/>
  <c r="P17" i="21" s="1"/>
  <c r="O5" i="21"/>
  <c r="O17" i="21" s="1"/>
  <c r="M5" i="21"/>
  <c r="M17" i="21" s="1"/>
  <c r="N20" i="21" s="1"/>
  <c r="L5" i="21"/>
  <c r="L17" i="21" s="1"/>
  <c r="J5" i="21"/>
  <c r="J17" i="21" s="1"/>
  <c r="I5" i="21"/>
  <c r="I17" i="21" s="1"/>
  <c r="H5" i="21"/>
  <c r="H17" i="21" s="1"/>
  <c r="J20" i="21" s="1"/>
  <c r="G5" i="21"/>
  <c r="G17" i="21" s="1"/>
  <c r="E5" i="21"/>
  <c r="E17" i="21" s="1"/>
  <c r="D5" i="21"/>
  <c r="D17" i="21" s="1"/>
  <c r="C5" i="21"/>
  <c r="C17" i="21" s="1"/>
  <c r="E20" i="21" s="1"/>
  <c r="B5" i="21"/>
  <c r="B17" i="21" s="1"/>
  <c r="C20" i="21" l="1"/>
  <c r="H20" i="21"/>
  <c r="M20" i="21"/>
  <c r="R5" i="21"/>
  <c r="R17" i="21" s="1"/>
  <c r="AA5" i="21"/>
  <c r="AA17" i="21" s="1"/>
  <c r="Q5" i="21"/>
  <c r="Q17" i="21" s="1"/>
  <c r="B92" i="15" l="1"/>
  <c r="H17" i="15"/>
  <c r="B30" i="15"/>
  <c r="F4" i="19"/>
  <c r="X148" i="15"/>
  <c r="L9" i="18"/>
  <c r="L10" i="18"/>
  <c r="L11" i="18"/>
  <c r="L8" i="18"/>
  <c r="G9" i="18"/>
  <c r="G10" i="18"/>
  <c r="G11" i="18"/>
  <c r="G8" i="18"/>
  <c r="F51" i="18"/>
  <c r="H51" i="18" s="1"/>
  <c r="K51" i="18"/>
  <c r="M51" i="18" s="1"/>
  <c r="F69" i="15"/>
  <c r="H45" i="17"/>
  <c r="H25" i="17"/>
  <c r="I9" i="17"/>
  <c r="I10" i="17"/>
  <c r="I11" i="17"/>
  <c r="I12" i="17"/>
  <c r="I13" i="17"/>
  <c r="I14" i="17"/>
  <c r="I15" i="17"/>
  <c r="I16" i="17"/>
  <c r="I17" i="17"/>
  <c r="I18" i="17"/>
  <c r="I19" i="17"/>
  <c r="I8" i="17"/>
  <c r="G72" i="17"/>
  <c r="D62" i="17"/>
  <c r="G56" i="17" s="1"/>
  <c r="D55" i="17"/>
  <c r="D56" i="17" s="1"/>
  <c r="G54" i="17" s="1"/>
  <c r="B50" i="17"/>
  <c r="B52" i="17"/>
  <c r="G42" i="17"/>
  <c r="G45" i="17" s="1"/>
  <c r="J22" i="17"/>
  <c r="J18" i="17"/>
  <c r="K22" i="17"/>
  <c r="F19" i="17"/>
  <c r="F20" i="17" s="1"/>
  <c r="F22" i="17" s="1"/>
  <c r="C19" i="17"/>
  <c r="C18" i="17"/>
  <c r="C20" i="17" s="1"/>
  <c r="C21" i="17" s="1"/>
  <c r="C22" i="17" s="1"/>
  <c r="B19" i="17"/>
  <c r="B18" i="17"/>
  <c r="B20" i="17" s="1"/>
  <c r="B21" i="17" s="1"/>
  <c r="B22" i="17" s="1"/>
  <c r="G20" i="17"/>
  <c r="G22" i="17" s="1"/>
  <c r="D20" i="17"/>
  <c r="D21" i="17" s="1"/>
  <c r="E20" i="17"/>
  <c r="E21" i="17" s="1"/>
  <c r="H20" i="17"/>
  <c r="H21" i="17" s="1"/>
  <c r="J25" i="17"/>
  <c r="I20" i="17" l="1"/>
  <c r="D22" i="17"/>
  <c r="D23" i="17" s="1"/>
  <c r="H22" i="17"/>
  <c r="B54" i="17"/>
  <c r="B55" i="17" s="1"/>
  <c r="H26" i="17" s="1"/>
  <c r="G47" i="17"/>
  <c r="H46" i="17"/>
  <c r="J23" i="17"/>
  <c r="I21" i="17"/>
  <c r="I22" i="17"/>
  <c r="F21" i="17"/>
  <c r="B23" i="17"/>
  <c r="G21" i="17"/>
  <c r="H23" i="17" l="1"/>
  <c r="G58" i="17"/>
  <c r="H24" i="17"/>
  <c r="F23" i="17"/>
  <c r="H27" i="17" l="1"/>
  <c r="H28" i="17" s="1"/>
  <c r="W11" i="15" l="1"/>
  <c r="Y11" i="15"/>
  <c r="R8" i="15"/>
  <c r="X8" i="15"/>
  <c r="X9" i="15" s="1"/>
  <c r="F8" i="15"/>
  <c r="V7" i="15" l="1"/>
  <c r="E135" i="15" l="1"/>
  <c r="E176" i="15" s="1"/>
  <c r="B94" i="15"/>
  <c r="Z148" i="15"/>
  <c r="AA148" i="15"/>
  <c r="T55" i="15"/>
  <c r="F48" i="15"/>
  <c r="F47" i="15"/>
  <c r="B95" i="15"/>
  <c r="B91" i="15"/>
  <c r="B58" i="15"/>
  <c r="T7" i="15"/>
  <c r="N92" i="15"/>
  <c r="C98" i="15" l="1"/>
  <c r="AA10" i="15"/>
  <c r="AA9" i="15"/>
  <c r="AA8" i="15"/>
  <c r="AA6" i="15"/>
  <c r="AA76" i="15"/>
  <c r="AA77" i="15"/>
  <c r="AA78" i="15"/>
  <c r="AA79" i="15"/>
  <c r="AA80" i="15"/>
  <c r="AA81" i="15"/>
  <c r="AA82" i="15"/>
  <c r="AA83" i="15"/>
  <c r="AA84" i="15"/>
  <c r="AA85" i="15"/>
  <c r="AA86" i="15"/>
  <c r="AA87" i="15"/>
  <c r="AA88" i="15"/>
  <c r="AA89" i="15"/>
  <c r="AA90" i="15"/>
  <c r="AA91" i="15"/>
  <c r="AA92" i="15"/>
  <c r="AA93" i="15"/>
  <c r="AA94" i="15"/>
  <c r="AA95" i="15"/>
  <c r="AA96" i="15"/>
  <c r="AA97" i="15"/>
  <c r="AA54" i="15"/>
  <c r="AA55" i="15"/>
  <c r="AA56" i="15"/>
  <c r="AA57" i="15"/>
  <c r="AA58" i="15"/>
  <c r="AA59" i="15"/>
  <c r="AA60" i="15"/>
  <c r="AA61" i="15"/>
  <c r="AA62" i="15"/>
  <c r="AA63" i="15"/>
  <c r="AA64" i="15"/>
  <c r="AA65" i="15"/>
  <c r="AA66" i="15"/>
  <c r="AA67" i="15"/>
  <c r="AA68" i="15"/>
  <c r="AA69" i="15"/>
  <c r="AA70" i="15"/>
  <c r="AA71" i="15"/>
  <c r="AA72" i="15"/>
  <c r="AA73" i="15"/>
  <c r="AA35" i="15"/>
  <c r="AA36" i="15"/>
  <c r="AA37" i="15"/>
  <c r="AA38" i="15"/>
  <c r="AA39" i="15"/>
  <c r="AA40" i="15"/>
  <c r="AA41" i="15"/>
  <c r="AA42" i="15"/>
  <c r="AA43" i="15"/>
  <c r="AA44" i="15"/>
  <c r="AA45" i="15"/>
  <c r="AA46" i="15"/>
  <c r="AA47" i="15"/>
  <c r="AA48" i="15"/>
  <c r="AA49" i="15"/>
  <c r="AA50" i="15"/>
  <c r="AA51" i="15"/>
  <c r="AA52" i="15"/>
  <c r="AA53" i="15"/>
  <c r="AA17" i="15"/>
  <c r="AA18" i="15"/>
  <c r="AA19" i="15"/>
  <c r="AA20" i="15"/>
  <c r="AA21" i="15"/>
  <c r="AA22" i="15"/>
  <c r="AA23" i="15"/>
  <c r="AA24" i="15"/>
  <c r="AA25" i="15"/>
  <c r="AA26" i="15"/>
  <c r="AA27" i="15"/>
  <c r="AA28" i="15"/>
  <c r="AA29" i="15"/>
  <c r="AA30" i="15"/>
  <c r="AA31" i="15"/>
  <c r="AA32" i="15"/>
  <c r="AA33" i="15"/>
  <c r="AA34" i="15"/>
  <c r="AA16" i="15"/>
  <c r="Z64" i="15"/>
  <c r="Z68" i="15"/>
  <c r="Z71" i="15"/>
  <c r="Z73" i="15"/>
  <c r="Z76" i="15"/>
  <c r="Z79" i="15"/>
  <c r="Z87" i="15"/>
  <c r="Z89" i="15"/>
  <c r="Z90" i="15"/>
  <c r="Z91" i="15"/>
  <c r="Z95" i="15"/>
  <c r="Z50" i="15"/>
  <c r="Z51" i="15"/>
  <c r="Z54" i="15"/>
  <c r="Z59" i="15"/>
  <c r="Z60" i="15"/>
  <c r="Z62" i="15"/>
  <c r="Z31" i="15"/>
  <c r="Z33" i="15"/>
  <c r="Z34" i="15"/>
  <c r="Z35" i="15"/>
  <c r="Z36" i="15"/>
  <c r="Z39" i="15"/>
  <c r="Z43" i="15"/>
  <c r="Z49" i="15"/>
  <c r="Z19" i="15"/>
  <c r="Z21" i="15"/>
  <c r="Z22" i="15"/>
  <c r="Z23" i="15"/>
  <c r="Z26" i="15"/>
  <c r="Y98" i="15"/>
  <c r="X176" i="15"/>
  <c r="X88" i="15"/>
  <c r="X98" i="15" s="1"/>
  <c r="X7" i="15"/>
  <c r="X11" i="15" s="1"/>
  <c r="X126" i="15" l="1"/>
  <c r="B38" i="15"/>
  <c r="L158" i="15"/>
  <c r="L162" i="15"/>
  <c r="P170" i="15"/>
  <c r="X100" i="15" l="1"/>
  <c r="L145" i="15"/>
  <c r="N88" i="15"/>
  <c r="N48" i="15"/>
  <c r="N9" i="15"/>
  <c r="AA174" i="15" l="1"/>
  <c r="AA163" i="15"/>
  <c r="AA164" i="15"/>
  <c r="AA165" i="15"/>
  <c r="AA166" i="15"/>
  <c r="AA167" i="15"/>
  <c r="AA168" i="15"/>
  <c r="AA169" i="15"/>
  <c r="AA170" i="15"/>
  <c r="AA171" i="15"/>
  <c r="AA172" i="15"/>
  <c r="AA173" i="15"/>
  <c r="AA147" i="15"/>
  <c r="AA149" i="15"/>
  <c r="AA150" i="15"/>
  <c r="AA151" i="15"/>
  <c r="AA152" i="15"/>
  <c r="AA153" i="15"/>
  <c r="AA154" i="15"/>
  <c r="AA155" i="15"/>
  <c r="AA156" i="15"/>
  <c r="AA157" i="15"/>
  <c r="AA158" i="15"/>
  <c r="AA159" i="15"/>
  <c r="AA160" i="15"/>
  <c r="AA161" i="15"/>
  <c r="AA162" i="15"/>
  <c r="AA138" i="15"/>
  <c r="AA139" i="15"/>
  <c r="AA140" i="15"/>
  <c r="AA141" i="15"/>
  <c r="AA142" i="15"/>
  <c r="AA143" i="15"/>
  <c r="AA144" i="15"/>
  <c r="AA145" i="15"/>
  <c r="AA146" i="15"/>
  <c r="AA134" i="15"/>
  <c r="AA135" i="15"/>
  <c r="AA136" i="15"/>
  <c r="AA137" i="15"/>
  <c r="AA133" i="15"/>
  <c r="Z174" i="15"/>
  <c r="Z136" i="15"/>
  <c r="Z142" i="15"/>
  <c r="Z143" i="15"/>
  <c r="Z144" i="15"/>
  <c r="Z145" i="15"/>
  <c r="Z146" i="15"/>
  <c r="Z147" i="15"/>
  <c r="Z150" i="15"/>
  <c r="Z151" i="15"/>
  <c r="Z152" i="15"/>
  <c r="Z153" i="15"/>
  <c r="Z154" i="15"/>
  <c r="Z157" i="15"/>
  <c r="Z158" i="15"/>
  <c r="Z159" i="15"/>
  <c r="Z161" i="15"/>
  <c r="Z162" i="15"/>
  <c r="Z163" i="15"/>
  <c r="Z164" i="15"/>
  <c r="Z165" i="15"/>
  <c r="Z166" i="15"/>
  <c r="Z167" i="15"/>
  <c r="Z168" i="15"/>
  <c r="Z171" i="15"/>
  <c r="Z172" i="15"/>
  <c r="Z13" i="15"/>
  <c r="Y126" i="15"/>
  <c r="F63" i="15"/>
  <c r="Z47" i="15"/>
  <c r="F16" i="15"/>
  <c r="R156" i="15"/>
  <c r="Z156" i="15" s="1"/>
  <c r="Z149" i="15"/>
  <c r="P9" i="15" l="1"/>
  <c r="P7" i="15" l="1"/>
  <c r="P11" i="15" s="1"/>
  <c r="Z160" i="15"/>
  <c r="E2" i="16" l="1"/>
  <c r="F2" i="16" s="1"/>
  <c r="E3" i="16"/>
  <c r="F3" i="16" s="1"/>
  <c r="E4" i="16"/>
  <c r="F4" i="16" s="1"/>
  <c r="E5" i="16"/>
  <c r="F5" i="16" s="1"/>
  <c r="V9" i="15"/>
  <c r="H81" i="15" l="1"/>
  <c r="D53" i="15"/>
  <c r="Z53" i="15" s="1"/>
  <c r="B85" i="15"/>
  <c r="Z58" i="15"/>
  <c r="B45" i="15"/>
  <c r="B29" i="15"/>
  <c r="Z28" i="15"/>
  <c r="Z78" i="15"/>
  <c r="Z173" i="15"/>
  <c r="XFD8" i="17"/>
  <c r="Z29" i="15" l="1"/>
  <c r="Z45" i="15"/>
  <c r="Z27" i="15"/>
  <c r="G37" i="18" l="1"/>
  <c r="Z155" i="15"/>
  <c r="V11" i="15"/>
  <c r="V176" i="15" l="1"/>
  <c r="Z66" i="15"/>
  <c r="Z83" i="15"/>
  <c r="Z46" i="15"/>
  <c r="Z97" i="15"/>
  <c r="Z85" i="15"/>
  <c r="Z82" i="15"/>
  <c r="Z56" i="15"/>
  <c r="Z55" i="15"/>
  <c r="R57" i="15"/>
  <c r="Z44" i="15"/>
  <c r="D38" i="15" l="1"/>
  <c r="Z38" i="15" s="1"/>
  <c r="V125" i="15"/>
  <c r="W125" i="15"/>
  <c r="V98" i="15"/>
  <c r="W98" i="15"/>
  <c r="W100" i="15" s="1"/>
  <c r="H65" i="15"/>
  <c r="Z65" i="15" s="1"/>
  <c r="Z52" i="15"/>
  <c r="Z41" i="15"/>
  <c r="Z17" i="15"/>
  <c r="Z113" i="15"/>
  <c r="Z114" i="15"/>
  <c r="Z115" i="15"/>
  <c r="Z116" i="15"/>
  <c r="Z117" i="15"/>
  <c r="Z118" i="15"/>
  <c r="Z119" i="15"/>
  <c r="Z120" i="15"/>
  <c r="Z121" i="15"/>
  <c r="Z122" i="15"/>
  <c r="Z123" i="15"/>
  <c r="Z124" i="15"/>
  <c r="Z104" i="15"/>
  <c r="Z105" i="15"/>
  <c r="Z106" i="15"/>
  <c r="Z107" i="15"/>
  <c r="Z108" i="15"/>
  <c r="Z109" i="15"/>
  <c r="Z110" i="15"/>
  <c r="Z111" i="15"/>
  <c r="Z112" i="15"/>
  <c r="Z103" i="15"/>
  <c r="V126" i="15" l="1"/>
  <c r="V100" i="15"/>
  <c r="W126" i="15"/>
  <c r="G7" i="18" l="1"/>
  <c r="T8" i="15" l="1"/>
  <c r="Z88" i="15" l="1"/>
  <c r="D40" i="15"/>
  <c r="Z40" i="15" s="1"/>
  <c r="D48" i="15"/>
  <c r="E11" i="18" l="1"/>
  <c r="H8" i="18"/>
  <c r="E4" i="18"/>
  <c r="E3" i="18"/>
  <c r="D3" i="18"/>
  <c r="G56" i="18" l="1"/>
  <c r="F56" i="18"/>
  <c r="G55" i="18"/>
  <c r="E54" i="18"/>
  <c r="F54" i="18" s="1"/>
  <c r="H54" i="18" s="1"/>
  <c r="F53" i="18"/>
  <c r="H53" i="18" s="1"/>
  <c r="H52" i="18"/>
  <c r="F50" i="18"/>
  <c r="H50" i="18" s="1"/>
  <c r="G49" i="18"/>
  <c r="F48" i="18"/>
  <c r="H48" i="18" s="1"/>
  <c r="F47" i="18"/>
  <c r="H47" i="18" s="1"/>
  <c r="F46" i="18"/>
  <c r="H46" i="18" s="1"/>
  <c r="F45" i="18"/>
  <c r="H45" i="18" s="1"/>
  <c r="F43" i="18"/>
  <c r="H43" i="18" s="1"/>
  <c r="F42" i="18"/>
  <c r="H42" i="18" s="1"/>
  <c r="F41" i="18"/>
  <c r="H41" i="18" s="1"/>
  <c r="E40" i="18"/>
  <c r="F40" i="18" s="1"/>
  <c r="E39" i="18"/>
  <c r="F39" i="18" s="1"/>
  <c r="H39" i="18" s="1"/>
  <c r="G38" i="18"/>
  <c r="E37" i="18"/>
  <c r="F37" i="18" s="1"/>
  <c r="H37" i="18" s="1"/>
  <c r="F36" i="18"/>
  <c r="H36" i="18" s="1"/>
  <c r="F35" i="18"/>
  <c r="E35" i="18"/>
  <c r="G35" i="18" s="1"/>
  <c r="F34" i="18"/>
  <c r="E34" i="18"/>
  <c r="G34" i="18" s="1"/>
  <c r="F86" i="15" s="1"/>
  <c r="Z86" i="15" s="1"/>
  <c r="F31" i="18"/>
  <c r="H31" i="18" s="1"/>
  <c r="F30" i="18"/>
  <c r="H30" i="18" s="1"/>
  <c r="F29" i="18"/>
  <c r="H29" i="18" s="1"/>
  <c r="G28" i="18"/>
  <c r="F27" i="18"/>
  <c r="H27" i="18" s="1"/>
  <c r="E26" i="18"/>
  <c r="F26" i="18" s="1"/>
  <c r="H26" i="18" s="1"/>
  <c r="F25" i="18"/>
  <c r="H25" i="18" s="1"/>
  <c r="G24" i="18"/>
  <c r="G22" i="18" s="1"/>
  <c r="F24" i="18"/>
  <c r="F23" i="18"/>
  <c r="H23" i="18" s="1"/>
  <c r="F21" i="18"/>
  <c r="H21" i="18" s="1"/>
  <c r="F20" i="18"/>
  <c r="H20" i="18" s="1"/>
  <c r="F19" i="18"/>
  <c r="G18" i="18"/>
  <c r="F17" i="18"/>
  <c r="H17" i="18" s="1"/>
  <c r="H16" i="18"/>
  <c r="F15" i="18"/>
  <c r="H15" i="18" s="1"/>
  <c r="F14" i="18"/>
  <c r="H14" i="18" s="1"/>
  <c r="F13" i="18"/>
  <c r="H13" i="18" s="1"/>
  <c r="F12" i="18"/>
  <c r="H12" i="18" s="1"/>
  <c r="H11" i="18"/>
  <c r="H10" i="18"/>
  <c r="H9" i="18"/>
  <c r="E6" i="18"/>
  <c r="F6" i="18" s="1"/>
  <c r="H6" i="18" s="1"/>
  <c r="E5" i="18"/>
  <c r="F5" i="18" s="1"/>
  <c r="H5" i="18" s="1"/>
  <c r="F4" i="18"/>
  <c r="H4" i="18" s="1"/>
  <c r="F3" i="18"/>
  <c r="G2" i="18"/>
  <c r="H24" i="18" l="1"/>
  <c r="F18" i="18"/>
  <c r="H18" i="18" s="1"/>
  <c r="H35" i="18"/>
  <c r="H19" i="18"/>
  <c r="H56" i="18"/>
  <c r="F28" i="18"/>
  <c r="H28" i="18" s="1"/>
  <c r="G32" i="18"/>
  <c r="F7" i="18"/>
  <c r="H7" i="18" s="1"/>
  <c r="H34" i="18"/>
  <c r="G44" i="18"/>
  <c r="H40" i="18"/>
  <c r="F38" i="18"/>
  <c r="H38" i="18" s="1"/>
  <c r="H49" i="18"/>
  <c r="F55" i="18"/>
  <c r="F2" i="18"/>
  <c r="H3" i="18"/>
  <c r="H2" i="18" s="1"/>
  <c r="H55" i="18"/>
  <c r="F49" i="18"/>
  <c r="F22" i="18"/>
  <c r="H22" i="18" s="1"/>
  <c r="F44" i="18" l="1"/>
  <c r="G57" i="18"/>
  <c r="H44" i="18"/>
  <c r="H32" i="18"/>
  <c r="F32" i="18"/>
  <c r="R16" i="15"/>
  <c r="Z16" i="15" s="1"/>
  <c r="P92" i="15"/>
  <c r="H70" i="15"/>
  <c r="Z70" i="15" s="1"/>
  <c r="H61" i="15"/>
  <c r="Z61" i="15" s="1"/>
  <c r="N169" i="15" l="1"/>
  <c r="F57" i="18"/>
  <c r="H57" i="18"/>
  <c r="D94" i="15"/>
  <c r="Z94" i="15" s="1"/>
  <c r="D72" i="15"/>
  <c r="Z72" i="15" s="1"/>
  <c r="D69" i="15"/>
  <c r="B84" i="15"/>
  <c r="Z84" i="15" s="1"/>
  <c r="Z81" i="15"/>
  <c r="B77" i="15"/>
  <c r="B57" i="15"/>
  <c r="Z57" i="15" s="1"/>
  <c r="B48" i="15"/>
  <c r="Z48" i="15" s="1"/>
  <c r="B42" i="15"/>
  <c r="Z42" i="15" s="1"/>
  <c r="B67" i="15"/>
  <c r="Z67" i="15" s="1"/>
  <c r="B69" i="15"/>
  <c r="T69" i="15"/>
  <c r="R69" i="15"/>
  <c r="H69" i="15"/>
  <c r="H8" i="15"/>
  <c r="H9" i="15" s="1"/>
  <c r="F9" i="15"/>
  <c r="D8" i="15"/>
  <c r="D9" i="15" s="1"/>
  <c r="B8" i="15"/>
  <c r="B9" i="15" s="1"/>
  <c r="Z8" i="15" l="1"/>
  <c r="Z77" i="15"/>
  <c r="Z69" i="15"/>
  <c r="D30" i="15"/>
  <c r="Z30" i="15" s="1"/>
  <c r="R9" i="15"/>
  <c r="T9" i="15"/>
  <c r="Z9" i="15" l="1"/>
  <c r="H7" i="15"/>
  <c r="H11" i="15" s="1"/>
  <c r="L7" i="15"/>
  <c r="T11" i="15"/>
  <c r="R7" i="15"/>
  <c r="R11" i="15" s="1"/>
  <c r="N7" i="15"/>
  <c r="N11" i="15" s="1"/>
  <c r="F7" i="15"/>
  <c r="F11" i="15" s="1"/>
  <c r="D7" i="15"/>
  <c r="D11" i="15" s="1"/>
  <c r="B7" i="15"/>
  <c r="B11" i="15" s="1"/>
  <c r="F80" i="15" l="1"/>
  <c r="Z80" i="15" s="1"/>
  <c r="K7" i="15" l="1"/>
  <c r="M7" i="15"/>
  <c r="H195" i="15"/>
  <c r="Q191" i="15"/>
  <c r="Q192" i="15"/>
  <c r="Q193" i="15"/>
  <c r="Q194" i="15"/>
  <c r="Q190" i="15"/>
  <c r="I195" i="15"/>
  <c r="J195" i="15"/>
  <c r="K195" i="15"/>
  <c r="L195" i="15"/>
  <c r="M195" i="15"/>
  <c r="N195" i="15"/>
  <c r="O195" i="15"/>
  <c r="P195" i="15"/>
  <c r="AA7" i="15" l="1"/>
  <c r="AA11" i="15" s="1"/>
  <c r="Q195" i="15"/>
  <c r="H196" i="15" l="1"/>
  <c r="L196" i="15"/>
  <c r="P196" i="15"/>
  <c r="I196" i="15"/>
  <c r="M196" i="15"/>
  <c r="N196" i="15"/>
  <c r="J196" i="15"/>
  <c r="K196" i="15"/>
  <c r="O196" i="15"/>
  <c r="L56" i="18" l="1"/>
  <c r="L37" i="18"/>
  <c r="J37" i="18"/>
  <c r="J40" i="18"/>
  <c r="P125" i="15" l="1"/>
  <c r="Z170" i="15"/>
  <c r="F125" i="15" l="1"/>
  <c r="D93" i="15" l="1"/>
  <c r="Z93" i="15" s="1"/>
  <c r="D92" i="15" l="1"/>
  <c r="Z92" i="15" s="1"/>
  <c r="P63" i="15"/>
  <c r="Z63" i="15" s="1"/>
  <c r="H18" i="15" l="1"/>
  <c r="H20" i="15" l="1"/>
  <c r="Z20" i="15" s="1"/>
  <c r="Z18" i="15"/>
  <c r="B98" i="15"/>
  <c r="R96" i="15"/>
  <c r="Z96" i="15" l="1"/>
  <c r="B126" i="15"/>
  <c r="Z169" i="15"/>
  <c r="R98" i="15"/>
  <c r="K35" i="18"/>
  <c r="K34" i="18"/>
  <c r="L24" i="18" l="1"/>
  <c r="J54" i="18" l="1"/>
  <c r="J39" i="18"/>
  <c r="J35" i="18"/>
  <c r="L35" i="18" s="1"/>
  <c r="J34" i="18"/>
  <c r="L34" i="18" s="1"/>
  <c r="J26" i="18"/>
  <c r="J6" i="18"/>
  <c r="J5" i="18" l="1"/>
  <c r="J4" i="18"/>
  <c r="F11" i="19" l="1"/>
  <c r="G4" i="19"/>
  <c r="G6" i="19"/>
  <c r="K6" i="19" l="1"/>
  <c r="J5" i="19"/>
  <c r="C176" i="15" l="1"/>
  <c r="K176" i="15"/>
  <c r="R176" i="15"/>
  <c r="T176" i="15"/>
  <c r="H98" i="15"/>
  <c r="J98" i="15"/>
  <c r="L98" i="15"/>
  <c r="N98" i="15"/>
  <c r="P98" i="15"/>
  <c r="T98" i="15"/>
  <c r="D135" i="15"/>
  <c r="Z135" i="15" s="1"/>
  <c r="D32" i="15" l="1"/>
  <c r="Z32" i="15" s="1"/>
  <c r="D140" i="15"/>
  <c r="Z140" i="15" s="1"/>
  <c r="AC125" i="15"/>
  <c r="D37" i="15" l="1"/>
  <c r="Z37" i="15" s="1"/>
  <c r="D138" i="15"/>
  <c r="Z138" i="15" s="1"/>
  <c r="D137" i="15"/>
  <c r="Z137" i="15" s="1"/>
  <c r="Z141" i="15"/>
  <c r="D24" i="15" l="1"/>
  <c r="D133" i="15"/>
  <c r="Z133" i="15" s="1"/>
  <c r="D25" i="15"/>
  <c r="Z25" i="15" s="1"/>
  <c r="D139" i="15"/>
  <c r="Z139" i="15" s="1"/>
  <c r="Z24" i="15" l="1"/>
  <c r="Z98" i="15" s="1"/>
  <c r="D98" i="15"/>
  <c r="D99" i="15" s="1"/>
  <c r="D134" i="15"/>
  <c r="Z134" i="15" s="1"/>
  <c r="L55" i="18" l="1"/>
  <c r="M52" i="18" l="1"/>
  <c r="K6" i="18"/>
  <c r="M6" i="18" s="1"/>
  <c r="K41" i="18"/>
  <c r="M41" i="18" s="1"/>
  <c r="L38" i="18" l="1"/>
  <c r="L28" i="18"/>
  <c r="G16" i="19" l="1"/>
  <c r="G15" i="19"/>
  <c r="G14" i="19"/>
  <c r="G13" i="19"/>
  <c r="G12" i="19"/>
  <c r="G11" i="19"/>
  <c r="G10" i="19"/>
  <c r="G9" i="19"/>
  <c r="G8" i="19"/>
  <c r="G7" i="19"/>
  <c r="F17" i="19"/>
  <c r="G3" i="19"/>
  <c r="G2" i="19"/>
  <c r="K16" i="19"/>
  <c r="K15" i="19"/>
  <c r="J17" i="19"/>
  <c r="K13" i="19"/>
  <c r="K12" i="19"/>
  <c r="K11" i="19"/>
  <c r="K10" i="19"/>
  <c r="K9" i="19"/>
  <c r="K8" i="19"/>
  <c r="K7" i="19"/>
  <c r="K4" i="19"/>
  <c r="K3" i="19"/>
  <c r="K2" i="19"/>
  <c r="K56" i="18"/>
  <c r="M56" i="18" s="1"/>
  <c r="K54" i="18"/>
  <c r="M54" i="18" s="1"/>
  <c r="K53" i="18"/>
  <c r="M53" i="18" s="1"/>
  <c r="K50" i="18"/>
  <c r="K48" i="18"/>
  <c r="M48" i="18" s="1"/>
  <c r="L49" i="18"/>
  <c r="K47" i="18"/>
  <c r="K46" i="18"/>
  <c r="K45" i="18"/>
  <c r="M45" i="18" s="1"/>
  <c r="K43" i="18"/>
  <c r="M43" i="18" s="1"/>
  <c r="K42" i="18"/>
  <c r="M42" i="18" s="1"/>
  <c r="K40" i="18"/>
  <c r="K39" i="18"/>
  <c r="K37" i="18"/>
  <c r="M37" i="18" s="1"/>
  <c r="K36" i="18"/>
  <c r="M36" i="18" s="1"/>
  <c r="M35" i="18"/>
  <c r="L44" i="18"/>
  <c r="K31" i="18"/>
  <c r="K30" i="18"/>
  <c r="M30" i="18" s="1"/>
  <c r="K29" i="18"/>
  <c r="K27" i="18"/>
  <c r="M27" i="18" s="1"/>
  <c r="K26" i="18"/>
  <c r="K25" i="18"/>
  <c r="M25" i="18" s="1"/>
  <c r="K23" i="18"/>
  <c r="K21" i="18"/>
  <c r="M21" i="18" s="1"/>
  <c r="K20" i="18"/>
  <c r="M20" i="18" s="1"/>
  <c r="K19" i="18"/>
  <c r="L18" i="18"/>
  <c r="L7" i="18"/>
  <c r="K17" i="18"/>
  <c r="M17" i="18" s="1"/>
  <c r="M16" i="18"/>
  <c r="K15" i="18"/>
  <c r="M15" i="18" s="1"/>
  <c r="K14" i="18"/>
  <c r="M14" i="18" s="1"/>
  <c r="K13" i="18"/>
  <c r="M13" i="18" s="1"/>
  <c r="K12" i="18"/>
  <c r="M12" i="18" s="1"/>
  <c r="M11" i="18"/>
  <c r="M10" i="18"/>
  <c r="K5" i="18"/>
  <c r="M5" i="18" s="1"/>
  <c r="K4" i="18"/>
  <c r="M4" i="18" s="1"/>
  <c r="K3" i="18"/>
  <c r="L2" i="18"/>
  <c r="K14" i="19" l="1"/>
  <c r="K55" i="18"/>
  <c r="K24" i="18"/>
  <c r="K22" i="18" s="1"/>
  <c r="L22" i="18"/>
  <c r="M8" i="18"/>
  <c r="K7" i="18"/>
  <c r="M7" i="18" s="1"/>
  <c r="M29" i="18"/>
  <c r="K28" i="18"/>
  <c r="M28" i="18" s="1"/>
  <c r="M39" i="18"/>
  <c r="K38" i="18"/>
  <c r="K44" i="18" s="1"/>
  <c r="K2" i="18"/>
  <c r="K18" i="18"/>
  <c r="K49" i="18"/>
  <c r="M50" i="18"/>
  <c r="M26" i="18"/>
  <c r="M47" i="18"/>
  <c r="G5" i="19"/>
  <c r="G17" i="19" s="1"/>
  <c r="K5" i="19"/>
  <c r="M3" i="18"/>
  <c r="M2" i="18" s="1"/>
  <c r="M23" i="18"/>
  <c r="M46" i="18"/>
  <c r="M9" i="18"/>
  <c r="M31" i="18"/>
  <c r="M40" i="18"/>
  <c r="M19" i="18"/>
  <c r="M34" i="18"/>
  <c r="K17" i="19" l="1"/>
  <c r="F98" i="15"/>
  <c r="L32" i="18"/>
  <c r="L57" i="18" s="1"/>
  <c r="M18" i="18"/>
  <c r="K32" i="18"/>
  <c r="K57" i="18" s="1"/>
  <c r="M55" i="18"/>
  <c r="M24" i="18"/>
  <c r="M38" i="18"/>
  <c r="M44" i="18" s="1"/>
  <c r="M49" i="18"/>
  <c r="M22" i="18"/>
  <c r="M32" i="18" l="1"/>
  <c r="M57" i="18" s="1"/>
  <c r="C125" i="15" l="1"/>
  <c r="E125" i="15"/>
  <c r="G125" i="15"/>
  <c r="I125" i="15"/>
  <c r="J125" i="15"/>
  <c r="K125" i="15"/>
  <c r="L125" i="15"/>
  <c r="M125" i="15"/>
  <c r="N125" i="15"/>
  <c r="O125" i="15"/>
  <c r="Q125" i="15"/>
  <c r="S125" i="15"/>
  <c r="T125" i="15"/>
  <c r="U125" i="15"/>
  <c r="AA13" i="15" l="1"/>
  <c r="AC98" i="15" l="1"/>
  <c r="R100" i="15"/>
  <c r="R126" i="15" l="1"/>
  <c r="O98" i="15" l="1"/>
  <c r="S176" i="15"/>
  <c r="AA125" i="15"/>
  <c r="Q98" i="15"/>
  <c r="U98" i="15"/>
  <c r="K98" i="15"/>
  <c r="K11" i="15"/>
  <c r="L10" i="15"/>
  <c r="L11" i="15" s="1"/>
  <c r="J10" i="15"/>
  <c r="S11" i="15"/>
  <c r="U11" i="15"/>
  <c r="Q11" i="15"/>
  <c r="I11" i="15"/>
  <c r="O11" i="15"/>
  <c r="G11" i="15"/>
  <c r="E11" i="15"/>
  <c r="C11" i="15"/>
  <c r="J6" i="15"/>
  <c r="Z6" i="15" s="1"/>
  <c r="Z10" i="15" l="1"/>
  <c r="J7" i="15"/>
  <c r="Z7" i="15" s="1"/>
  <c r="Z11" i="15" s="1"/>
  <c r="S98" i="15"/>
  <c r="S100" i="15" s="1"/>
  <c r="K100" i="15"/>
  <c r="K126" i="15"/>
  <c r="Q100" i="15"/>
  <c r="Q126" i="15"/>
  <c r="B100" i="15"/>
  <c r="G98" i="15"/>
  <c r="E98" i="15"/>
  <c r="M98" i="15"/>
  <c r="M176" i="15"/>
  <c r="I98" i="15"/>
  <c r="F100" i="15"/>
  <c r="F126" i="15"/>
  <c r="U100" i="15"/>
  <c r="U126" i="15"/>
  <c r="O100" i="15"/>
  <c r="O126" i="15"/>
  <c r="N100" i="15"/>
  <c r="N126" i="15"/>
  <c r="P100" i="15"/>
  <c r="P126" i="15"/>
  <c r="H100" i="15"/>
  <c r="H126" i="15"/>
  <c r="C100" i="15"/>
  <c r="M11" i="15"/>
  <c r="H175" i="15"/>
  <c r="H176" i="15" s="1"/>
  <c r="Z128" i="15" l="1"/>
  <c r="X128" i="15"/>
  <c r="Z100" i="15"/>
  <c r="J11" i="15"/>
  <c r="J100" i="15" s="1"/>
  <c r="V128" i="15"/>
  <c r="V130" i="15" s="1"/>
  <c r="AC11" i="15"/>
  <c r="S126" i="15"/>
  <c r="M100" i="15"/>
  <c r="M126" i="15"/>
  <c r="E99" i="15"/>
  <c r="E100" i="15"/>
  <c r="E126" i="15"/>
  <c r="C126" i="15"/>
  <c r="T128" i="15"/>
  <c r="D128" i="15"/>
  <c r="R128" i="15"/>
  <c r="B128" i="15"/>
  <c r="B130" i="15" s="1"/>
  <c r="P128" i="15"/>
  <c r="P130" i="15" s="1"/>
  <c r="N128" i="15"/>
  <c r="N130" i="15" s="1"/>
  <c r="L128" i="15"/>
  <c r="J128" i="15"/>
  <c r="H128" i="15"/>
  <c r="H130" i="15" s="1"/>
  <c r="H178" i="15" s="1"/>
  <c r="F128" i="15"/>
  <c r="F130" i="15" s="1"/>
  <c r="I100" i="15"/>
  <c r="I126" i="15"/>
  <c r="G100" i="15"/>
  <c r="G126" i="15"/>
  <c r="L100" i="15"/>
  <c r="L126" i="15"/>
  <c r="AA98" i="15"/>
  <c r="F175" i="15"/>
  <c r="F176" i="15" s="1"/>
  <c r="B175" i="15"/>
  <c r="G175" i="15"/>
  <c r="Q175" i="15"/>
  <c r="Q176" i="15" s="1"/>
  <c r="O175" i="15"/>
  <c r="O176" i="15" s="1"/>
  <c r="U175" i="15"/>
  <c r="U176" i="15" s="1"/>
  <c r="L175" i="15"/>
  <c r="L176" i="15" s="1"/>
  <c r="J175" i="15"/>
  <c r="J176" i="15" s="1"/>
  <c r="L130" i="15" l="1"/>
  <c r="L178" i="15" s="1"/>
  <c r="J126" i="15"/>
  <c r="J130" i="15" s="1"/>
  <c r="J178" i="15" s="1"/>
  <c r="R130" i="15"/>
  <c r="R178" i="15" s="1"/>
  <c r="G176" i="15"/>
  <c r="Y128" i="15"/>
  <c r="Y130" i="15" s="1"/>
  <c r="Y178" i="15" s="1"/>
  <c r="V178" i="15"/>
  <c r="W128" i="15"/>
  <c r="W130" i="15" s="1"/>
  <c r="W178" i="15" s="1"/>
  <c r="F178" i="15"/>
  <c r="AA126" i="15"/>
  <c r="B129" i="15"/>
  <c r="F181" i="15"/>
  <c r="I175" i="15"/>
  <c r="I176" i="15" s="1"/>
  <c r="P175" i="15"/>
  <c r="Z175" i="15" s="1"/>
  <c r="AA100" i="15"/>
  <c r="X130" i="15" l="1"/>
  <c r="X178" i="15" s="1"/>
  <c r="AA175" i="15"/>
  <c r="AA176" i="15" s="1"/>
  <c r="P176" i="15"/>
  <c r="AA127" i="15"/>
  <c r="N176" i="15"/>
  <c r="N178" i="15" s="1"/>
  <c r="M128" i="15"/>
  <c r="M130" i="15" s="1"/>
  <c r="C128" i="15"/>
  <c r="C130" i="15" s="1"/>
  <c r="Q128" i="15"/>
  <c r="Q130" i="15" s="1"/>
  <c r="K128" i="15"/>
  <c r="K130" i="15" s="1"/>
  <c r="S128" i="15"/>
  <c r="S130" i="15" s="1"/>
  <c r="U128" i="15"/>
  <c r="U130" i="15" s="1"/>
  <c r="O128" i="15"/>
  <c r="O130" i="15" s="1"/>
  <c r="I128" i="15"/>
  <c r="I130" i="15" s="1"/>
  <c r="E128" i="15"/>
  <c r="E130" i="15" s="1"/>
  <c r="G128" i="15"/>
  <c r="G130" i="15" s="1"/>
  <c r="P178" i="15" l="1"/>
  <c r="B176" i="15"/>
  <c r="AA128" i="15"/>
  <c r="B178" i="15" l="1"/>
  <c r="T126" i="15" l="1"/>
  <c r="T100" i="15"/>
  <c r="D100" i="15"/>
  <c r="G25" i="16"/>
  <c r="E25" i="16"/>
  <c r="T130" i="15" l="1"/>
  <c r="T178" i="15" s="1"/>
  <c r="D126" i="15"/>
  <c r="D175" i="15" l="1"/>
  <c r="Z125" i="15"/>
  <c r="Z126" i="15" s="1"/>
  <c r="D130" i="15"/>
  <c r="Z130" i="15" s="1"/>
  <c r="AC176" i="15" l="1"/>
  <c r="D176" i="15"/>
  <c r="Z176" i="15" s="1"/>
  <c r="Z184" i="15" l="1"/>
  <c r="Z181" i="15"/>
  <c r="D178" i="15"/>
  <c r="Z178" i="15" s="1"/>
  <c r="AB184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tc={FA994FA4-F203-844B-B4AF-968C904D55E9}</author>
    <author>tc={11CF8910-FAA7-EA41-AD5D-DE6908175DB1}</author>
    <author>tc={7CBE5619-8B46-ED46-BF5C-AF375B3FF532}</author>
    <author>tc={6F104D77-618E-9A40-8D9D-DA8ED7CC9B72}</author>
    <author>tc={2FCCB5A8-644A-7647-AED0-11677855829B}</author>
    <author>tc={0ADFE739-F210-3540-ACB4-3D79C551E202}</author>
    <author>tc={A3E51A97-DEC7-9F43-8CC5-45BEBBBF2709}</author>
    <author>tc={AE563FED-88F1-294C-B54E-98300D918C5B}</author>
    <author>tc={2A58FA5B-2C8D-ED4E-97E0-4AFE52BF4BCC}</author>
    <author>tc={91F12A30-C2DA-1842-9C64-EFED04FDD984}</author>
    <author>tc={2B755BA1-7D17-A84A-BE3A-219C73D15DB0}</author>
    <author>tc={4B6BBD51-5ECD-F843-94CC-89730384F1EA}</author>
    <author>tc={68D56397-A98C-3E4E-8856-84F384CDD255}</author>
    <author>tc={AD038516-19B5-094F-B94A-F09CE4677C46}</author>
    <author>tc={7E4287E4-27CE-404B-AFD1-1D16D869F6C7}</author>
    <author>tc={CCC7E7B1-7FDB-8E4F-A269-2AA6AC8A07C5}</author>
    <author>tc={A0D9FE10-C4A0-1C46-B9B7-23D652B14F7B}</author>
    <author>tc={FB93E4B4-BAD4-E649-A66F-B1EEB329A0BD}</author>
    <author>tc={8DB240C5-1FC5-FD49-B4CC-9F751191873C}</author>
    <author>tc={5AE24510-B750-2D4C-9224-360040E4018B}</author>
    <author>tc={0209E22F-275E-6442-A615-A4255706D6F9}</author>
    <author>tc={EBBC6B92-7183-2649-AC5B-8E58EE922CAE}</author>
    <author>tc={00CEF0F7-5999-BF46-BA8A-3793B8E8324F}</author>
  </authors>
  <commentList>
    <comment ref="B6" authorId="0" shapeId="0" xr:uid="{FA994FA4-F203-844B-B4AF-968C904D55E9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4 fő</t>
      </text>
    </comment>
    <comment ref="D6" authorId="1" shapeId="0" xr:uid="{11CF8910-FAA7-EA41-AD5D-DE6908175DB1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8 fő</t>
      </text>
    </comment>
    <comment ref="F6" authorId="2" shapeId="0" xr:uid="{7CBE5619-8B46-ED46-BF5C-AF375B3FF532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11 fő
(Össz. munkabérből 1.000.000.-Ft. átvezetve a vállalkozási tevékenységre)</t>
      </text>
    </comment>
    <comment ref="H6" authorId="3" shapeId="0" xr:uid="{6F104D77-618E-9A40-8D9D-DA8ED7CC9B72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5 fő</t>
      </text>
    </comment>
    <comment ref="L6" authorId="4" shapeId="0" xr:uid="{2FCCB5A8-644A-7647-AED0-11677855829B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Bért kell ide is tervezni = telep. tiszt.-ből 1.000.000.</t>
      </text>
    </comment>
    <comment ref="N6" authorId="5" shapeId="0" xr:uid="{0ADFE739-F210-3540-ACB4-3D79C551E202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1,5 fő</t>
      </text>
    </comment>
    <comment ref="P6" authorId="6" shapeId="0" xr:uid="{A3E51A97-DEC7-9F43-8CC5-45BEBBBF2709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1 fő</t>
      </text>
    </comment>
    <comment ref="R6" authorId="7" shapeId="0" xr:uid="{AE563FED-88F1-294C-B54E-98300D918C5B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2 fő</t>
      </text>
    </comment>
    <comment ref="T6" authorId="8" shapeId="0" xr:uid="{2A58FA5B-2C8D-ED4E-97E0-4AFE52BF4BCC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3 fő, abból 1 fő hamarosan szül</t>
      </text>
    </comment>
    <comment ref="V6" authorId="9" shapeId="0" xr:uid="{91F12A30-C2DA-1842-9C64-EFED04FDD984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1 fő 4 órás</t>
      </text>
    </comment>
    <comment ref="B27" authorId="10" shapeId="0" xr:uid="{2B755BA1-7D17-A84A-BE3A-219C73D15DB0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takarítószeres kocsi</t>
      </text>
    </comment>
    <comment ref="X29" authorId="11" shapeId="0" xr:uid="{4B6BBD51-5ECD-F843-94CC-89730384F1EA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Karácsonyfa daruzása, kosaras kocsi, szállítás</t>
      </text>
    </comment>
    <comment ref="D40" authorId="12" shapeId="0" xr:uid="{68D56397-A98C-3E4E-8856-84F384CDD255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klíma berendezés tisztítása, átmosása, szükséges!</t>
      </text>
    </comment>
    <comment ref="R44" authorId="13" shapeId="0" xr:uid="{AD038516-19B5-094F-B94A-F09CE4677C46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óvodai előiárnyzat</t>
      </text>
    </comment>
    <comment ref="R54" authorId="14" shapeId="0" xr:uid="{7E4287E4-27CE-404B-AFD1-1D16D869F6C7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Kerti fa játékok tetejének cseréje anyag+ munkadíj óvodai előirányzat</t>
      </text>
    </comment>
    <comment ref="B55" authorId="15" shapeId="0" xr:uid="{CCC7E7B1-7FDB-8E4F-A269-2AA6AC8A07C5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előirányzat módosítás +1.500.000.- szennyvízátemelő szivattyúk felújítása (mind a 2 elromlott)</t>
      </text>
    </comment>
    <comment ref="R55" authorId="16" shapeId="0" xr:uid="{A0D9FE10-C4A0-1C46-B9B7-23D652B14F7B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karbantartási anyag + fa festék + udvarrész takarítása óvodai előirányzat</t>
      </text>
    </comment>
    <comment ref="R56" authorId="17" shapeId="0" xr:uid="{FB93E4B4-BAD4-E649-A66F-B1EEB329A0BD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óvodai előirányzat</t>
      </text>
    </comment>
    <comment ref="B58" authorId="18" shapeId="0" xr:uid="{8DB240C5-1FC5-FD49-B4CC-9F751191873C}">
      <text>
        <t xml:space="preserve"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új mikró stb
</t>
      </text>
    </comment>
    <comment ref="R82" authorId="19" shapeId="0" xr:uid="{5AE24510-B750-2D4C-9224-360040E4018B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óvodai előirányzat</t>
      </text>
    </comment>
    <comment ref="D88" authorId="20" shapeId="0" xr:uid="{0209E22F-275E-6442-A615-A4255706D6F9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Verena: konyha, ebédlő leválasztása és karbantartása</t>
      </text>
    </comment>
    <comment ref="D94" authorId="21" shapeId="0" xr:uid="{EBBC6B92-7183-2649-AC5B-8E58EE922CAE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Gumikompenzátorok, elzárószelepek, légtelenítők, keringetőszivattyú cserére szorul</t>
      </text>
    </comment>
    <comment ref="B149" authorId="22" shapeId="0" xr:uid="{00CEF0F7-5999-BF46-BA8A-3793B8E8324F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68.750.-/nap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Rita</author>
    <author>Rendszergazda</author>
  </authors>
  <commentList>
    <comment ref="K13" authorId="0" shapeId="0" xr:uid="{1E48ACA1-951A-AC4C-81B9-DCE43D10DC22}">
      <text>
        <r>
          <rPr>
            <b/>
            <sz val="9"/>
            <color indexed="81"/>
            <rFont val="Tahoma"/>
            <family val="2"/>
            <charset val="238"/>
          </rPr>
          <t>Rita:</t>
        </r>
        <r>
          <rPr>
            <sz val="9"/>
            <color indexed="81"/>
            <rFont val="Tahoma"/>
            <family val="2"/>
            <charset val="238"/>
          </rPr>
          <t xml:space="preserve">
bál</t>
        </r>
      </text>
    </comment>
    <comment ref="K14" authorId="0" shapeId="0" xr:uid="{727DA4AC-BDAA-E348-8709-437526E81CB2}">
      <text>
        <r>
          <rPr>
            <b/>
            <sz val="9"/>
            <color indexed="81"/>
            <rFont val="Tahoma"/>
            <family val="2"/>
            <charset val="238"/>
          </rPr>
          <t>Rita:</t>
        </r>
        <r>
          <rPr>
            <sz val="9"/>
            <color indexed="81"/>
            <rFont val="Tahoma"/>
            <family val="2"/>
            <charset val="238"/>
          </rPr>
          <t xml:space="preserve">
választás</t>
        </r>
      </text>
    </comment>
    <comment ref="B22" authorId="1" shapeId="0" xr:uid="{D0EC95D9-7F62-0946-BFD7-9D3A5995C327}">
      <text>
        <r>
          <rPr>
            <b/>
            <sz val="9"/>
            <color indexed="81"/>
            <rFont val="Segoe UI"/>
            <family val="2"/>
            <charset val="238"/>
          </rPr>
          <t>Rendszergazda:</t>
        </r>
        <r>
          <rPr>
            <sz val="9"/>
            <color indexed="81"/>
            <rFont val="Segoe UI"/>
            <family val="2"/>
            <charset val="238"/>
          </rPr>
          <t xml:space="preserve">
kiadás,bevétel</t>
        </r>
      </text>
    </comment>
    <comment ref="C22" authorId="1" shapeId="0" xr:uid="{24F114E8-2E90-874C-8C71-1574EF50CD45}">
      <text>
        <r>
          <rPr>
            <b/>
            <sz val="9"/>
            <color indexed="81"/>
            <rFont val="Segoe UI"/>
            <family val="2"/>
            <charset val="238"/>
          </rPr>
          <t>Rendszergazda:</t>
        </r>
        <r>
          <rPr>
            <sz val="9"/>
            <color indexed="81"/>
            <rFont val="Segoe UI"/>
            <family val="2"/>
            <charset val="238"/>
          </rPr>
          <t xml:space="preserve">
kiadás, bevétel</t>
        </r>
      </text>
    </comment>
    <comment ref="B23" authorId="1" shapeId="0" xr:uid="{B35CBD67-3DF5-6744-BCAD-30E969A99FD8}">
      <text>
        <r>
          <rPr>
            <b/>
            <sz val="9"/>
            <color indexed="81"/>
            <rFont val="Segoe UI"/>
            <family val="2"/>
            <charset val="238"/>
          </rPr>
          <t>Rendszergazda:</t>
        </r>
        <r>
          <rPr>
            <sz val="9"/>
            <color indexed="81"/>
            <rFont val="Segoe UI"/>
            <family val="2"/>
            <charset val="238"/>
          </rPr>
          <t xml:space="preserve">
kiadás, és bevétel is</t>
        </r>
      </text>
    </comment>
    <comment ref="F23" authorId="0" shapeId="0" xr:uid="{41FC1D8A-543B-B949-A8AF-759F0D811E20}">
      <text>
        <r>
          <rPr>
            <b/>
            <sz val="9"/>
            <color rgb="FF000000"/>
            <rFont val="Tahoma"/>
            <family val="2"/>
            <charset val="238"/>
          </rPr>
          <t>Rita: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20% emeléssel</t>
        </r>
      </text>
    </comment>
    <comment ref="J23" authorId="1" shapeId="0" xr:uid="{84EA590D-228F-2341-8A5D-84F6860EC052}">
      <text>
        <r>
          <rPr>
            <b/>
            <sz val="9"/>
            <color rgb="FF000000"/>
            <rFont val="Segoe UI"/>
            <family val="2"/>
            <charset val="1"/>
          </rPr>
          <t>Rendszergazda: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össz élelem beszerzés (kiadás)</t>
        </r>
      </text>
    </comment>
    <comment ref="H24" authorId="1" shapeId="0" xr:uid="{2F2BBB0D-1EFB-6B49-8FD1-50466E42AD9E}">
      <text>
        <r>
          <rPr>
            <b/>
            <sz val="9"/>
            <color rgb="FF000000"/>
            <rFont val="Segoe UI"/>
            <family val="2"/>
            <charset val="1"/>
          </rPr>
          <t>Rendszergazda: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nettó: diétás,
</t>
        </r>
        <r>
          <rPr>
            <sz val="9"/>
            <color rgb="FF000000"/>
            <rFont val="Segoe UI"/>
            <family val="2"/>
            <charset val="1"/>
          </rPr>
          <t xml:space="preserve"> gyermek étk bevét,
</t>
        </r>
        <r>
          <rPr>
            <sz val="9"/>
            <color rgb="FF000000"/>
            <rFont val="Segoe UI"/>
            <family val="2"/>
            <charset val="1"/>
          </rPr>
          <t xml:space="preserve"> + rezsi</t>
        </r>
      </text>
    </comment>
    <comment ref="K24" authorId="1" shapeId="0" xr:uid="{5B0FF3C0-0DAF-9A4B-A593-2806329A2082}">
      <text>
        <r>
          <rPr>
            <b/>
            <sz val="9"/>
            <color indexed="81"/>
            <rFont val="Segoe UI"/>
            <family val="2"/>
            <charset val="238"/>
          </rPr>
          <t>Rendszergazda:</t>
        </r>
        <r>
          <rPr>
            <sz val="9"/>
            <color indexed="81"/>
            <rFont val="Segoe UI"/>
            <family val="2"/>
            <charset val="238"/>
          </rPr>
          <t xml:space="preserve">
rendezvény tervezés</t>
        </r>
      </text>
    </comment>
    <comment ref="J25" authorId="0" shapeId="0" xr:uid="{98DBF8F9-3A42-484E-A4EC-1DECC541A3EE}">
      <text>
        <r>
          <rPr>
            <b/>
            <sz val="9"/>
            <color indexed="81"/>
            <rFont val="Tahoma"/>
            <family val="2"/>
            <charset val="238"/>
          </rPr>
          <t>Rita:</t>
        </r>
        <r>
          <rPr>
            <sz val="9"/>
            <color indexed="81"/>
            <rFont val="Tahoma"/>
            <family val="2"/>
            <charset val="238"/>
          </rPr>
          <t xml:space="preserve">
havi rezsi ktsg.</t>
        </r>
      </text>
    </comment>
    <comment ref="H28" authorId="1" shapeId="0" xr:uid="{BC69F97E-5F60-A94A-8300-5E01D7F30EF2}">
      <text>
        <r>
          <rPr>
            <b/>
            <sz val="9"/>
            <color indexed="81"/>
            <rFont val="Segoe UI"/>
            <family val="2"/>
            <charset val="238"/>
          </rPr>
          <t>Rendszergazda:</t>
        </r>
        <r>
          <rPr>
            <sz val="9"/>
            <color indexed="81"/>
            <rFont val="Segoe UI"/>
            <family val="2"/>
            <charset val="238"/>
          </rPr>
          <t xml:space="preserve">
összes Nettó bevét+Nem kedvezményes gy.étk.
</t>
        </r>
      </text>
    </comment>
    <comment ref="B50" authorId="0" shapeId="0" xr:uid="{D4AD6ABE-DCC6-0843-B06B-FC475784AEC6}">
      <text>
        <r>
          <rPr>
            <b/>
            <sz val="9"/>
            <color rgb="FF000000"/>
            <rFont val="Tahoma"/>
            <family val="2"/>
            <charset val="238"/>
          </rPr>
          <t>Rita: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nyári sz.</t>
        </r>
      </text>
    </comment>
    <comment ref="B51" authorId="0" shapeId="0" xr:uid="{3AA320CF-416A-B14E-B6BD-0208214A2F7B}">
      <text>
        <r>
          <rPr>
            <b/>
            <sz val="9"/>
            <color rgb="FF000000"/>
            <rFont val="Tahoma"/>
            <family val="2"/>
            <charset val="238"/>
          </rPr>
          <t>Rita: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tavaszi sz.</t>
        </r>
      </text>
    </comment>
    <comment ref="D51" authorId="1" shapeId="0" xr:uid="{D2F8B19B-ADEC-9643-8594-7ABC0B698330}">
      <text>
        <r>
          <rPr>
            <b/>
            <sz val="9"/>
            <color rgb="FF000000"/>
            <rFont val="Segoe UI"/>
            <family val="2"/>
            <charset val="1"/>
          </rPr>
          <t>Rendszergazda: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KSK kézi 2xétk.</t>
        </r>
      </text>
    </comment>
    <comment ref="B52" authorId="0" shapeId="0" xr:uid="{832072EB-1196-AF46-97F6-EBCDFD4DFD09}">
      <text>
        <r>
          <rPr>
            <b/>
            <sz val="9"/>
            <color rgb="FF000000"/>
            <rFont val="Tahoma"/>
            <family val="2"/>
            <charset val="238"/>
          </rPr>
          <t>Rita: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őszi sz.</t>
        </r>
      </text>
    </comment>
    <comment ref="D52" authorId="1" shapeId="0" xr:uid="{69410E2B-52FB-2743-8B84-B64B0F1BC563}">
      <text>
        <r>
          <rPr>
            <b/>
            <sz val="9"/>
            <color rgb="FF000000"/>
            <rFont val="Segoe UI"/>
            <family val="2"/>
            <charset val="1"/>
          </rPr>
          <t>Rendszergazda: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vezetéstechnika  csak ebéd</t>
        </r>
      </text>
    </comment>
    <comment ref="D54" authorId="1" shapeId="0" xr:uid="{1A3A6165-2EA7-8149-B9BC-3167CA6002BC}">
      <text>
        <r>
          <rPr>
            <b/>
            <sz val="9"/>
            <color rgb="FF000000"/>
            <rFont val="Segoe UI"/>
            <family val="2"/>
            <charset val="1"/>
          </rPr>
          <t>Rendszergazda: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oratórium  csak ebéd</t>
        </r>
      </text>
    </comment>
    <comment ref="D59" authorId="0" shapeId="0" xr:uid="{DA20CC58-1348-EC4E-87A7-929CE6B8E01F}">
      <text>
        <r>
          <rPr>
            <b/>
            <sz val="9"/>
            <color indexed="81"/>
            <rFont val="Tahoma"/>
            <family val="2"/>
            <charset val="238"/>
          </rPr>
          <t>Rita:</t>
        </r>
        <r>
          <rPr>
            <sz val="9"/>
            <color indexed="81"/>
            <rFont val="Tahoma"/>
            <family val="2"/>
            <charset val="238"/>
          </rPr>
          <t xml:space="preserve">
borászok</t>
        </r>
      </text>
    </comment>
    <comment ref="D60" authorId="0" shapeId="0" xr:uid="{E9FC10FB-5D64-564A-BB46-39CF61FA191A}">
      <text>
        <r>
          <rPr>
            <b/>
            <sz val="9"/>
            <color indexed="81"/>
            <rFont val="Tahoma"/>
            <family val="2"/>
            <charset val="238"/>
          </rPr>
          <t>Rita:</t>
        </r>
        <r>
          <rPr>
            <sz val="9"/>
            <color indexed="81"/>
            <rFont val="Tahoma"/>
            <family val="2"/>
            <charset val="238"/>
          </rPr>
          <t xml:space="preserve">
bál</t>
        </r>
      </text>
    </comment>
    <comment ref="G60" authorId="1" shapeId="0" xr:uid="{844D8BD2-A750-0444-A78A-3D25804E9066}">
      <text>
        <r>
          <rPr>
            <b/>
            <sz val="9"/>
            <color rgb="FF000000"/>
            <rFont val="Segoe UI"/>
            <family val="2"/>
            <charset val="1"/>
          </rPr>
          <t>Rendszergazda: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kiadás</t>
        </r>
      </text>
    </comment>
    <comment ref="D61" authorId="0" shapeId="0" xr:uid="{EA255CAE-A37F-9742-A131-79ADADC7F15A}">
      <text>
        <r>
          <rPr>
            <b/>
            <sz val="9"/>
            <color indexed="81"/>
            <rFont val="Tahoma"/>
            <family val="2"/>
            <charset val="238"/>
          </rPr>
          <t>Rita:</t>
        </r>
        <r>
          <rPr>
            <sz val="9"/>
            <color indexed="81"/>
            <rFont val="Tahoma"/>
            <family val="2"/>
            <charset val="238"/>
          </rPr>
          <t xml:space="preserve">
választás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tc={43DC39A0-570E-F645-89E3-F1BEB317F581}</author>
    <author>tc={9E176DD7-120A-4A47-BF15-008EB6F48ED6}</author>
    <author>tc={3BF9A8EF-A782-684A-97E7-182B6EB02391}</author>
    <author>tc={EF0F8E3B-CF6D-A247-A4BB-2403ECCBF9AB}</author>
    <author>tc={D0E996F5-DC5E-004D-81D2-FBCA71EFBBFA}</author>
    <author>tc={B7C91DD3-F618-AF47-AC08-F998E3A05C35}</author>
  </authors>
  <commentList>
    <comment ref="D29" authorId="0" shapeId="0" xr:uid="{43DC39A0-570E-F645-89E3-F1BEB317F581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heti 2 ellenőrzés</t>
      </text>
    </comment>
    <comment ref="G29" authorId="1" shapeId="0" xr:uid="{9E176DD7-120A-4A47-BF15-008EB6F48ED6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TÜV engedélyek megújítása 3 játszótér és 2 kondipark</t>
      </text>
    </comment>
    <comment ref="I29" authorId="2" shapeId="0" xr:uid="{3BF9A8EF-A782-684A-97E7-182B6EB02391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heti 2 ellenőrzés</t>
      </text>
    </comment>
    <comment ref="L29" authorId="3" shapeId="0" xr:uid="{EF0F8E3B-CF6D-A247-A4BB-2403ECCBF9AB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TÜV engedélyek megújítása 3 játszótér és 2 kondipark</t>
      </text>
    </comment>
    <comment ref="G37" authorId="4" shapeId="0" xr:uid="{D0E996F5-DC5E-004D-81D2-FBCA71EFBBFA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Meleg aszfalt(33000.-Ft/t) +mart aszfalt (kb 3100.-Ft/t) anyag ár.</t>
      </text>
    </comment>
    <comment ref="L37" authorId="5" shapeId="0" xr:uid="{B7C91DD3-F618-AF47-AC08-F998E3A05C35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Meleg aszfalt(33000.-Ft/t) +mart aszfalt (kb 3100.-Ft/t) anyag ár.</t>
      </text>
    </comment>
  </commentList>
</comments>
</file>

<file path=xl/sharedStrings.xml><?xml version="1.0" encoding="utf-8"?>
<sst xmlns="http://schemas.openxmlformats.org/spreadsheetml/2006/main" count="882" uniqueCount="381">
  <si>
    <t>Személy jellegű ráfordítások</t>
  </si>
  <si>
    <t>Sportcsarnok</t>
  </si>
  <si>
    <t>Konyha</t>
  </si>
  <si>
    <t>Hulladék</t>
  </si>
  <si>
    <t>Összesen</t>
  </si>
  <si>
    <t>Munkabér</t>
  </si>
  <si>
    <t>Munkabérhez tartozó járulék</t>
  </si>
  <si>
    <t>Munkábajárási hozzájárulás</t>
  </si>
  <si>
    <t>Anyagi jellegű ráfordítás megnevezése</t>
  </si>
  <si>
    <t>Vízdíjak</t>
  </si>
  <si>
    <t>Gázszolgáltatás</t>
  </si>
  <si>
    <t>Elektromos áram</t>
  </si>
  <si>
    <t>Kéményseprői közszolgáltatás</t>
  </si>
  <si>
    <t>Iparűzési adó</t>
  </si>
  <si>
    <t>Gépjármű adó+Rehabilitációs h</t>
  </si>
  <si>
    <t>Étkezési tér. Díj kompenzáció</t>
  </si>
  <si>
    <t>Gyógyszer beszerzés</t>
  </si>
  <si>
    <t>Irodaszer, nyomtatvány</t>
  </si>
  <si>
    <t>Hajtó és kenőanyag</t>
  </si>
  <si>
    <t>Kisértékű tárgyi eszközök beszerzése</t>
  </si>
  <si>
    <t>Higiéniai termék, takarítószer</t>
  </si>
  <si>
    <t>Egyéb anyag</t>
  </si>
  <si>
    <t>Ionizáló só</t>
  </si>
  <si>
    <t>Vízlágyító berendezés karbantartás</t>
  </si>
  <si>
    <t>Postaköltség</t>
  </si>
  <si>
    <t>Vagyonvédelem</t>
  </si>
  <si>
    <t>Hulladékszállítás</t>
  </si>
  <si>
    <t>Biztosítás  ( Autó )</t>
  </si>
  <si>
    <t>Biztosítás  ( Épület )</t>
  </si>
  <si>
    <t>Biztosítás  ( tevékenység)</t>
  </si>
  <si>
    <t>Rágcsálóirtás</t>
  </si>
  <si>
    <t>Pénzügyi szolgáltatás (könyvelés)</t>
  </si>
  <si>
    <t>Bankköltség</t>
  </si>
  <si>
    <t>Könyvvizsgálat</t>
  </si>
  <si>
    <t>Üzemorvosi szolgáltatás</t>
  </si>
  <si>
    <t>Munkavédelem, Tűzvédelem tanácsadás</t>
  </si>
  <si>
    <t>Védőital</t>
  </si>
  <si>
    <t>Zsírfogó karbantartás</t>
  </si>
  <si>
    <t>Tisztasági festés</t>
  </si>
  <si>
    <t>Lift felülvizsgálat /TÜV/</t>
  </si>
  <si>
    <t>Villanyszerelés, anyagköltséggel</t>
  </si>
  <si>
    <t>Gépészeti karbantartás, javítás</t>
  </si>
  <si>
    <t>Kazán karbantartása</t>
  </si>
  <si>
    <t>Közterületi virágosítás</t>
  </si>
  <si>
    <t>Érintésvédelmi felülvizsgálat minden intézmény</t>
  </si>
  <si>
    <t>Le nem vonható ÁFA</t>
  </si>
  <si>
    <t>Felhalmozási kiadások összesen</t>
  </si>
  <si>
    <t>Költség, ráfordítás és felújítási kiadás összesen:</t>
  </si>
  <si>
    <t>Bevétel megnevezése</t>
  </si>
  <si>
    <t>Sportbevételek (terembérleti díjak - nincs áfa)</t>
  </si>
  <si>
    <t>Étkeztetés rezsi ktsg. Iskola</t>
  </si>
  <si>
    <t>Nyári gyermekétkeztetés bevétele</t>
  </si>
  <si>
    <t>Vendégétkeztetés bevétele</t>
  </si>
  <si>
    <t>Diétás étkezés bevétele</t>
  </si>
  <si>
    <t>Diétás étkezés rezsiköltségének bevétele</t>
  </si>
  <si>
    <t>Temetőben végzett vállalkozói tevékenység</t>
  </si>
  <si>
    <t>Hulladékgyűjtő zsák / edény értékesítés</t>
  </si>
  <si>
    <t>Telefon továbbszámlázás</t>
  </si>
  <si>
    <t>Takarítás</t>
  </si>
  <si>
    <t>Kamat</t>
  </si>
  <si>
    <t>Önkormányzat feladatfinanszírozása</t>
  </si>
  <si>
    <t>Önkormányzat fejl.c.támogatása</t>
  </si>
  <si>
    <t>Bevételek összesen</t>
  </si>
  <si>
    <t>Játszótér javítás, ellenőrzés</t>
  </si>
  <si>
    <t xml:space="preserve">Étkeztetés bevétele Önkorm. (isk. kedvezm.) </t>
  </si>
  <si>
    <t>Sportcsarnok eszköz felülvizsgálata és javítása</t>
  </si>
  <si>
    <t>Használati hozzájárulás DTK</t>
  </si>
  <si>
    <t>Óvoda</t>
  </si>
  <si>
    <t>Vállalati központ költségének felosztási aránya</t>
  </si>
  <si>
    <t>Vállalati központ felosztott arányosított költsége:</t>
  </si>
  <si>
    <t>Közvetett és közvetlen költség, ráfordítás és felújítási kiadás</t>
  </si>
  <si>
    <t>Zászlók</t>
  </si>
  <si>
    <t xml:space="preserve">Takarítószer </t>
  </si>
  <si>
    <t>Úrna bérlet, sírhely bérlet ( Márványlap)</t>
  </si>
  <si>
    <t>Színpad szerelés</t>
  </si>
  <si>
    <t>Faház építés</t>
  </si>
  <si>
    <t>Karbantartás</t>
  </si>
  <si>
    <t>Gyenge áram, tűzjelző felügy.éves (Silent night)</t>
  </si>
  <si>
    <t>Burkolat javítás</t>
  </si>
  <si>
    <t>Dugulás elhárítás, Szennyvízszippantás, Szivattyú javítás</t>
  </si>
  <si>
    <t>Zár és kulcs csere</t>
  </si>
  <si>
    <t>Szökőkút javítás</t>
  </si>
  <si>
    <t>Informatikai támogatás</t>
  </si>
  <si>
    <t>Kötelező képzés és egyéb oktatás</t>
  </si>
  <si>
    <t>Szivattyú beépítése a meglévőhöz-Pill.Óvoda</t>
  </si>
  <si>
    <t>Rendelők</t>
  </si>
  <si>
    <t>Bér + Anyagi jellegű ráfordítás</t>
  </si>
  <si>
    <t>Nébih felügyeleti díj</t>
  </si>
  <si>
    <t>Műfüves pálya karbantartás</t>
  </si>
  <si>
    <t>Autó, gép alkatrész + javítás+karbant.Matrica, eljárási illeték</t>
  </si>
  <si>
    <t xml:space="preserve">Étkeztetés bevétele Iskola diák (nincs pénzmozgás) -kompenzáció Önkormányzat felé </t>
  </si>
  <si>
    <t>Telep.üzem.</t>
  </si>
  <si>
    <t>OJSC</t>
  </si>
  <si>
    <t>Vállalkozási tev.</t>
  </si>
  <si>
    <t>Temető</t>
  </si>
  <si>
    <t>Anyagi jellegű ráfordítások összesen</t>
  </si>
  <si>
    <r>
      <t xml:space="preserve">Egyéb étkeztetés bevétele </t>
    </r>
    <r>
      <rPr>
        <sz val="11"/>
        <color rgb="FFFF0000"/>
        <rFont val="Calibri"/>
        <family val="2"/>
        <charset val="238"/>
        <scheme val="minor"/>
      </rPr>
      <t>(szünidei étk</t>
    </r>
    <r>
      <rPr>
        <sz val="11"/>
        <rFont val="Calibri"/>
        <family val="2"/>
        <charset val="238"/>
        <scheme val="minor"/>
      </rPr>
      <t>)</t>
    </r>
  </si>
  <si>
    <t>Óvoda 1300</t>
  </si>
  <si>
    <t>Köztemető 1200</t>
  </si>
  <si>
    <t>Hulladék 600</t>
  </si>
  <si>
    <t>Sportcsarnok 100</t>
  </si>
  <si>
    <t>Konyha 200</t>
  </si>
  <si>
    <t>Település tisztaság 400</t>
  </si>
  <si>
    <t>Ober János 900</t>
  </si>
  <si>
    <t>Vállalati központ 500</t>
  </si>
  <si>
    <t>Vállalkozási tevékenység 800</t>
  </si>
  <si>
    <t>Vízvezeték, fűtés javítás+ag.</t>
  </si>
  <si>
    <t>Tűzoltósági felülvizsgálat WEB tűzőr</t>
  </si>
  <si>
    <t>Fénycső</t>
  </si>
  <si>
    <t>Lábtörlő</t>
  </si>
  <si>
    <t>Tűzjelző felügyelet ( G4S )/Criterion/</t>
  </si>
  <si>
    <t>Konyhagép karbantartás Zamfam, ZsírProfi</t>
  </si>
  <si>
    <t>Szemétszállítás</t>
  </si>
  <si>
    <t>Étkeztetés bevétele Iskola diák  kedv (Amit a gyerekeknek állítunk ki számlát )</t>
  </si>
  <si>
    <t>Telefondíj, Internet</t>
  </si>
  <si>
    <t>Hulladékelszáll.Biofilter</t>
  </si>
  <si>
    <t>Karbantartási anyag, szerelési ag, mdíj</t>
  </si>
  <si>
    <t>Elmű Adatátviteli díj</t>
  </si>
  <si>
    <t xml:space="preserve">Élelmiszer beszerzés </t>
  </si>
  <si>
    <t>CAT munkagépre gumi garnitúra és féltengely csere</t>
  </si>
  <si>
    <t>Légtechnika karbantartás</t>
  </si>
  <si>
    <t>Ételhulladék elszállítása</t>
  </si>
  <si>
    <t>Diétás étkeztetés rezis költsége</t>
  </si>
  <si>
    <t>Eszköz pótlás</t>
  </si>
  <si>
    <t>Lift karbantartás</t>
  </si>
  <si>
    <t>Egyéb anyag továbbszámlázása</t>
  </si>
  <si>
    <t>Útjavítás, karbantartás</t>
  </si>
  <si>
    <t>Fejlesztési, beruházási cél</t>
  </si>
  <si>
    <t>Menny.</t>
  </si>
  <si>
    <t>Me. Egys.</t>
  </si>
  <si>
    <t>Nettó ár</t>
  </si>
  <si>
    <t>Áfa</t>
  </si>
  <si>
    <t>Bruttó ár</t>
  </si>
  <si>
    <t>db</t>
  </si>
  <si>
    <t>alk</t>
  </si>
  <si>
    <t>Összesen:</t>
  </si>
  <si>
    <t>Nettó</t>
  </si>
  <si>
    <t>Sor szám</t>
  </si>
  <si>
    <t>Megnevezés</t>
  </si>
  <si>
    <t>Me</t>
  </si>
  <si>
    <t>Nettó egység ár</t>
  </si>
  <si>
    <t xml:space="preserve">Fűnyírás (kézi) </t>
  </si>
  <si>
    <t xml:space="preserve">Önkormányzati területek </t>
  </si>
  <si>
    <t>m2</t>
  </si>
  <si>
    <t>Országos közút területe, árok-út közötti terület</t>
  </si>
  <si>
    <t>Egyéb magántulajdonú terület</t>
  </si>
  <si>
    <t xml:space="preserve">Fűkaszálás (gépi) </t>
  </si>
  <si>
    <t>óra</t>
  </si>
  <si>
    <t>Parkok gondozása, karbantartása</t>
  </si>
  <si>
    <t>Egynyári</t>
  </si>
  <si>
    <t>Évelő</t>
  </si>
  <si>
    <t>Cserje</t>
  </si>
  <si>
    <t>Faültetés Karózással</t>
  </si>
  <si>
    <t>Zöldterület egyéb karbantartás (gyomlálás, kapálás, sövény vágás)</t>
  </si>
  <si>
    <t>Zöldterület takarítás (lomb, nyesedék)</t>
  </si>
  <si>
    <t>Locsolás, Ültetés</t>
  </si>
  <si>
    <t>Szökőkút karbantartás, javítás</t>
  </si>
  <si>
    <t>Szökőkút vegyszer, egyéb anyag, külső javítás</t>
  </si>
  <si>
    <t>Egyéb (utcabútor gondozás, stb..)</t>
  </si>
  <si>
    <t>Fakivágás, gallyazás</t>
  </si>
  <si>
    <t>Fák, cserjék gallyazása</t>
  </si>
  <si>
    <t xml:space="preserve">Kisfa kivágás </t>
  </si>
  <si>
    <t>Fakivágás utómunkák</t>
  </si>
  <si>
    <t>Köztisztasági feladatok</t>
  </si>
  <si>
    <t>Buszmegálló takarítása, szemetes ürítése, kutya ürülék elszál.</t>
  </si>
  <si>
    <t>Hulladékgyűjtő edények cseréje, telepítése</t>
  </si>
  <si>
    <t>Járdák, buszmegállók, Önkormányzati ingatlanok járdáinak síkosságmentesítése</t>
  </si>
  <si>
    <t>Gépi síkosságmentesítés</t>
  </si>
  <si>
    <t>Települési illegális szemétszállítás</t>
  </si>
  <si>
    <t>Játszótér</t>
  </si>
  <si>
    <t>Játszótér telepítés, költöztetés, anyag költség</t>
  </si>
  <si>
    <t>Játszóterek ásása, szemtelése, locsolása, karbantartása</t>
  </si>
  <si>
    <t>I.</t>
  </si>
  <si>
    <t>Parkok mindösszesen:</t>
  </si>
  <si>
    <t>Kresz táblák pótlása (oszloppal)</t>
  </si>
  <si>
    <t>Kresz táblák cseréje, pótlása</t>
  </si>
  <si>
    <t>Kresz táblák ideiglenes kihelyezése</t>
  </si>
  <si>
    <t>Aszfaltút kátyúzása</t>
  </si>
  <si>
    <t>Földutak karbantartása</t>
  </si>
  <si>
    <t>Ápolása, gréderezése</t>
  </si>
  <si>
    <t>Földutak zúzottköves javítása</t>
  </si>
  <si>
    <t>Kézi erős munka</t>
  </si>
  <si>
    <t>Járda karbantartása</t>
  </si>
  <si>
    <t>Padka tisztítás, hordalék elszállítás</t>
  </si>
  <si>
    <t>II.</t>
  </si>
  <si>
    <t>Járda- és útjavítás mindösszesen:</t>
  </si>
  <si>
    <t>Rácsos átereszek karbantartása tisztítása</t>
  </si>
  <si>
    <t>Vízelvezető  árkok gépi tisztítása</t>
  </si>
  <si>
    <t>Vízelvezető árkok helyreállítása, zsaluzása</t>
  </si>
  <si>
    <t>fm</t>
  </si>
  <si>
    <t>Vízelvezető árkok kézi tisztítása</t>
  </si>
  <si>
    <t>III.</t>
  </si>
  <si>
    <t>Csapadékvíz mindösszesen:</t>
  </si>
  <si>
    <t>Művelődési Ház részére végzett munka</t>
  </si>
  <si>
    <t>Mogyoród Turisztikai Kft. részére végzett munka</t>
  </si>
  <si>
    <t>Vis major</t>
  </si>
  <si>
    <t>Egyéb munkálatok Önkormányzat részére</t>
  </si>
  <si>
    <t>Önkormányzati ingatlanon végzett gépmunka</t>
  </si>
  <si>
    <t>IV.</t>
  </si>
  <si>
    <t>Egyéb munka Önkormányzat és Intézményei részére</t>
  </si>
  <si>
    <t>V.</t>
  </si>
  <si>
    <t>Közétkeztetés szállítása Óvodákba és Hivatalba</t>
  </si>
  <si>
    <t>Mindösszesen (nettó):</t>
  </si>
  <si>
    <t>Fűnyírás</t>
  </si>
  <si>
    <t>Zöldterület egyéb karbantartás (gyomlálás, kapálás, locsolás)</t>
  </si>
  <si>
    <t>Virág vásárlás</t>
  </si>
  <si>
    <t>Virág ültetés</t>
  </si>
  <si>
    <t>Temetés előtti terület rendezés</t>
  </si>
  <si>
    <t>Hulladék szállítás</t>
  </si>
  <si>
    <t>Járdák, utak takarítása, síkosság mentesítése</t>
  </si>
  <si>
    <t>Hulladékgyűjtők kialakítása</t>
  </si>
  <si>
    <t>Egyéb karbantartási munkák</t>
  </si>
  <si>
    <t>Meglévő vízvezeték karbantartása</t>
  </si>
  <si>
    <t>Egyéb gépmunka</t>
  </si>
  <si>
    <t>Sorszám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</si>
  <si>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</si>
  <si>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</si>
  <si>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</si>
  <si>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</si>
  <si>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</si>
  <si>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</si>
  <si>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</si>
  <si>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</si>
  <si>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</si>
  <si>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</si>
  <si>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</si>
  <si>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</si>
  <si>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Buszmegállók javítása</t>
  </si>
  <si>
    <t>Gázóra csere</t>
  </si>
  <si>
    <t>Gépkölcsönzés</t>
  </si>
  <si>
    <t>Csomagolás</t>
  </si>
  <si>
    <t>Szökőkút karbantartás</t>
  </si>
  <si>
    <t>Villanyszerelés anyag</t>
  </si>
  <si>
    <t>Eredményjelző használat</t>
  </si>
  <si>
    <t>Többlettakarítási általánydíj</t>
  </si>
  <si>
    <t>Iskola közüzemi díj továbbszámlázás DTK részére</t>
  </si>
  <si>
    <t>Munkaruha, védőruha, védőeszköz</t>
  </si>
  <si>
    <t>Intézményi takarítás (Hivatal, Rendelők, Családsegítő) 1400</t>
  </si>
  <si>
    <t>MOGYORÓD NONPROFIT KFT</t>
  </si>
  <si>
    <t>Diétás étk.</t>
  </si>
  <si>
    <t>iskola</t>
  </si>
  <si>
    <t>rezsi óvoda</t>
  </si>
  <si>
    <t>rezsi iskola</t>
  </si>
  <si>
    <t>élelem beszerzés nettó</t>
  </si>
  <si>
    <t>rendezvényes</t>
  </si>
  <si>
    <t>diétás nysa.</t>
  </si>
  <si>
    <t>diét. rezsi</t>
  </si>
  <si>
    <t>Kedvezményes</t>
  </si>
  <si>
    <t>Nem kedvezményes</t>
  </si>
  <si>
    <t>élelem beszerzés Nettó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</si>
  <si>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</si>
  <si>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</si>
  <si>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</si>
  <si>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</si>
  <si>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</si>
  <si>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</si>
  <si>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</si>
  <si>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</si>
  <si>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</si>
  <si>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</si>
  <si>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</si>
  <si>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</si>
  <si>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 bruttó:</t>
  </si>
  <si>
    <t>összesen nettó</t>
  </si>
  <si>
    <t xml:space="preserve"> </t>
  </si>
  <si>
    <t>Gyermek étk.+rezsi:</t>
  </si>
  <si>
    <t>Felnőtt+nyár+egyéb:</t>
  </si>
  <si>
    <t>szünidei étk.</t>
  </si>
  <si>
    <t>összes Nettó bevétel:</t>
  </si>
  <si>
    <t>Felnőtt adagszám</t>
  </si>
  <si>
    <t>összes adag</t>
  </si>
  <si>
    <t>összesen:</t>
  </si>
  <si>
    <t>NETTÓ:</t>
  </si>
  <si>
    <t>nyári táborok , oratórium terezése</t>
  </si>
  <si>
    <t>Összes nyár</t>
  </si>
  <si>
    <t>Szünidei gyermekétkeztetés</t>
  </si>
  <si>
    <t>Egyéb rendezvények</t>
  </si>
  <si>
    <t>(felnőtt+nyár+egyéb)</t>
  </si>
  <si>
    <t>Ételhulladék (Biofilter)</t>
  </si>
  <si>
    <t>zsírfogó tisztítása(évente 2x)Greenpro</t>
  </si>
  <si>
    <t>Konténeres örökzöld kisfa pótlása</t>
  </si>
  <si>
    <t>Köztemetőbe kamerarendszer kiépítése</t>
  </si>
  <si>
    <t>Építőanyag</t>
  </si>
  <si>
    <t xml:space="preserve">Játszótéri eszköz telepítés </t>
  </si>
  <si>
    <t>Munkagép bérbeadás</t>
  </si>
  <si>
    <t>Diétás étkezés nyersanyag</t>
  </si>
  <si>
    <t xml:space="preserve">Légtechnika karbantartás </t>
  </si>
  <si>
    <t>Zsírfogó karbantartás Greenpro</t>
  </si>
  <si>
    <t>össz.:</t>
  </si>
  <si>
    <t>tisztítószer</t>
  </si>
  <si>
    <t>Homokozók faburkolat cseréje</t>
  </si>
  <si>
    <t>Padlófűtés vízcsere</t>
  </si>
  <si>
    <t>Takarítógép</t>
  </si>
  <si>
    <t>Játszótér javítás, ellenőrzés + fitnessparkok</t>
  </si>
  <si>
    <t>Egyéb kiadások ( Terítő mosás) (TOI) (Szállít.ktg)(Gép kölcs.)(Kulcs.más) (Hat vizsg.)( Közmű egy.)(Kamarai tagdíj )( Vízbek. Eng.terv)(Térkép,hírdetés)(Felszólítási díj)(Szoftver frissítés )(klímaberendezések tisztítása, karbantartása)</t>
  </si>
  <si>
    <t>Készétel szállítás</t>
  </si>
  <si>
    <t>Szükséges Önkormányzati finanszírozás:</t>
  </si>
  <si>
    <t>A 200-as munkaszámra(konyha) vásárolt tételek áfája visszaigényelhető így ott nettó árral kalkuláltunk.</t>
  </si>
  <si>
    <t>Kistornaterem világítás cseréje</t>
  </si>
  <si>
    <t>Cafeteria (SZÉP kártya)</t>
  </si>
  <si>
    <t>Cafeteria (SZÉP kártya) járulék</t>
  </si>
  <si>
    <t>Villanyszerelés, anyagköltséggel, lámpatestek cseréje ledesre</t>
  </si>
  <si>
    <t>Laminált parketta csere/járólap csere</t>
  </si>
  <si>
    <t>✓</t>
  </si>
  <si>
    <t>Hulladékelszáll.</t>
  </si>
  <si>
    <t>Konyhagép karbantartás Zamfam, szerződés szerinti</t>
  </si>
  <si>
    <t>Ételhulladék elszállítása Biofilter</t>
  </si>
  <si>
    <t>364 Ft tér.díj</t>
  </si>
  <si>
    <t>légtechnika (Zsírprofi)</t>
  </si>
  <si>
    <t>dugulás elhárítás</t>
  </si>
  <si>
    <t>éves gépkarbantartás(évente 2x)Zamfam</t>
  </si>
  <si>
    <t>munkaruha</t>
  </si>
  <si>
    <t>eszközpótlás</t>
  </si>
  <si>
    <t>Nébih fel.díj</t>
  </si>
  <si>
    <t>karbantartás, javítás</t>
  </si>
  <si>
    <t>Hűtőszekrény 400l</t>
  </si>
  <si>
    <t>Gázüzemű főzőüst 200L GLF 201</t>
  </si>
  <si>
    <t>Beruházási, felújítási kiadások megnevezése Netto ár</t>
  </si>
  <si>
    <t>2023 Kötelező feladatok összesen</t>
  </si>
  <si>
    <t>hó</t>
  </si>
  <si>
    <t>Étkező</t>
  </si>
  <si>
    <t>Konditerem</t>
  </si>
  <si>
    <t>Ft</t>
  </si>
  <si>
    <t>negyed p.óra</t>
  </si>
  <si>
    <t>Ft        negyed p.</t>
  </si>
  <si>
    <t>3/4 p.óra</t>
  </si>
  <si>
    <t>Ft       3/4 p.</t>
  </si>
  <si>
    <t>Földterület bérbeadás</t>
  </si>
  <si>
    <t>Bölcsőde 1600</t>
  </si>
  <si>
    <t>Homokozók fedél kialakítása (nádszövettel való bevonása)</t>
  </si>
  <si>
    <t>Térkövezés</t>
  </si>
  <si>
    <t>Hulladékgyűjtő, utcabútorzat (vagy közterületi tartályok beszerzése)</t>
  </si>
  <si>
    <t>2023 Kötelező feladatok</t>
  </si>
  <si>
    <t>2023 Anyag költség</t>
  </si>
  <si>
    <t>2023 Összesen</t>
  </si>
  <si>
    <t>Fejlesztési támogatás buttó:</t>
  </si>
  <si>
    <t>diétás, és ovi még nincs meg</t>
  </si>
  <si>
    <t>Közvetlen költség,               kiadás</t>
  </si>
  <si>
    <t>Továbbszámlázandó tételek at üzemeltető felé</t>
  </si>
  <si>
    <t>Továbbszámlázandó tételek az üzemeltető felé</t>
  </si>
  <si>
    <t>Turisztika 1700</t>
  </si>
  <si>
    <t>Cafetéria (SZÉP kártya)</t>
  </si>
  <si>
    <t>Cafetéria (SZÉP kártya) járulék</t>
  </si>
  <si>
    <t>VEKOP Turisztikai attrakciók</t>
  </si>
  <si>
    <t>Fűkaszálás vállalkozási bevétele+Gépi földmunka, nyesedék szállítás, ágdarálás</t>
  </si>
  <si>
    <t>Hanyga Terasz bérbeadása</t>
  </si>
  <si>
    <t>Hangya Terasz bérbeadása</t>
  </si>
  <si>
    <t>2024 terv</t>
  </si>
  <si>
    <t>2023 várható</t>
  </si>
  <si>
    <t>2024 terv mennyiség</t>
  </si>
  <si>
    <t>2024 Kötelező feladatok</t>
  </si>
  <si>
    <t>2024 Anyag költség</t>
  </si>
  <si>
    <t>2024 Összesen</t>
  </si>
  <si>
    <t>2023 megvalósult mennyiség</t>
  </si>
  <si>
    <t>2024 Tervezett mennyiség</t>
  </si>
  <si>
    <t>2024 tervezett Anyag költség</t>
  </si>
  <si>
    <t>2024 Kötelező feladatok összesen</t>
  </si>
  <si>
    <t>2024 év 20% emeléssel( pénzforgalom, élelem beszerzés, rezsi)</t>
  </si>
  <si>
    <t>egyéb rendezvények</t>
  </si>
  <si>
    <t>csomagoló anyag</t>
  </si>
  <si>
    <t>rágcsálóírtás</t>
  </si>
  <si>
    <t>Élelem rendezvény</t>
  </si>
  <si>
    <t>Étkezés rendezvény</t>
  </si>
  <si>
    <t>Iskola                                                                              Egész napos rendezvények:12 óra</t>
  </si>
  <si>
    <t>Csarnok                                                                          Egész napos rendezvények:12 óra</t>
  </si>
  <si>
    <t>Csarnok+Étkező+ kondi+ bérleti díj nélküli használatok              összesen (DTK nélkül!)</t>
  </si>
  <si>
    <t>Sportpálya                                                                                                                                  Mérkőzés:1 alk.=2 óra                                                                                                                2023.április 01.-től nem mi üzemeltetjük!</t>
  </si>
  <si>
    <t>Klubház                        2023.április 01.-től nem mi üzemeltetjük!</t>
  </si>
  <si>
    <t>DTK</t>
  </si>
  <si>
    <t>Bérleti díj nélküli óra</t>
  </si>
  <si>
    <t>fél pálya  óra</t>
  </si>
  <si>
    <t>Ft            fél pálya</t>
  </si>
  <si>
    <t>teljes p.+ mérkőzés alk.</t>
  </si>
  <si>
    <t xml:space="preserve">Ft       teljes+mérk.alk. </t>
  </si>
  <si>
    <t>Összesen       Ft</t>
  </si>
  <si>
    <t>Óra:</t>
  </si>
  <si>
    <t>Ft:</t>
  </si>
  <si>
    <t>Pillangós óvoda: ablakok felújítása, beton kútelem telepítése</t>
  </si>
  <si>
    <t>Laptop</t>
  </si>
  <si>
    <t>Fagyasztó</t>
  </si>
  <si>
    <t>Irodai székek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</si>
</sst>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Ft&quot;"/>
    <numFmt numFmtId="165" formatCode="0.0"/>
    <numFmt numFmtId="166" formatCode="#,##0.000\ &quot;Ft&quot;"/>
    <numFmt numFmtId="167" formatCode="_-* #,##0\ &quot;Ft&quot;_-;\-* #,##0\ &quot;Ft&quot;_-;_-* &quot;-&quot;??\ &quot;Ft&quot;_-;_-@"/>
    <numFmt numFmtId="168" formatCode="_-* #,##0\ &quot;Ft&quot;_-;\-* #,##0\ &quot;Ft&quot;_-;_-* &quot;-&quot;??\ &quot;Ft&quot;_-;_-@_-"/>
    <numFmt numFmtId="169" formatCode="#,##0.0"/>
  </numFmts>
  <fonts count="7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Garamond"/>
      <family val="1"/>
      <charset val="238"/>
    </font>
    <font>
      <sz val="12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rgb="FFFF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</font>
    <font>
      <b/>
      <sz val="13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8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1"/>
      <color rgb="FF7030A0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9"/>
      <color rgb="FF000000"/>
      <name val="Segoe UI"/>
      <family val="2"/>
      <charset val="1"/>
    </font>
    <font>
      <sz val="9"/>
      <color rgb="FF000000"/>
      <name val="Segoe UI"/>
      <family val="2"/>
      <charset val="1"/>
    </font>
    <font>
      <b/>
      <sz val="11"/>
      <color theme="4" tint="-0.249977111117893"/>
      <name val="Calibri"/>
      <family val="2"/>
      <charset val="238"/>
    </font>
    <font>
      <sz val="9"/>
      <color theme="4" tint="-0.499984740745262"/>
      <name val="Calibri"/>
      <family val="2"/>
      <charset val="238"/>
    </font>
    <font>
      <b/>
      <sz val="9"/>
      <color theme="4" tint="-0.499984740745262"/>
      <name val="Calibri"/>
      <family val="2"/>
      <charset val="238"/>
    </font>
    <font>
      <b/>
      <sz val="11"/>
      <color theme="4" tint="-0.499984740745262"/>
      <name val="Calibri"/>
      <family val="2"/>
      <charset val="238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4D5156"/>
      <name val="Arial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8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sz val="1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9E2F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D9E2F3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theme="5" tint="0.59999389629810485"/>
        <bgColor rgb="FFFBE4D5"/>
      </patternFill>
    </fill>
    <fill>
      <patternFill patternType="solid">
        <fgColor theme="5" tint="0.59999389629810485"/>
        <bgColor rgb="FFFFFF00"/>
      </patternFill>
    </fill>
    <fill>
      <patternFill patternType="solid">
        <fgColor rgb="FFFFFF00"/>
        <bgColor rgb="FFFBE4D5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5D8"/>
        <bgColor indexed="64"/>
      </patternFill>
    </fill>
    <fill>
      <patternFill patternType="solid">
        <fgColor theme="7" tint="0.79998168889431442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/>
      <right style="mediumDashDotDot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 style="mediumDashDotDot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DashDotDot">
        <color indexed="64"/>
      </bottom>
      <diagonal/>
    </border>
    <border>
      <left style="mediumDashDotDot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DashDotDot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/>
      <bottom style="thin">
        <color indexed="64"/>
      </bottom>
      <diagonal/>
    </border>
    <border>
      <left style="mediumDashDotDot">
        <color indexed="64"/>
      </left>
      <right style="thick">
        <color indexed="64"/>
      </right>
      <top/>
      <bottom style="mediumDashDotDot">
        <color indexed="64"/>
      </bottom>
      <diagonal/>
    </border>
    <border>
      <left style="thick">
        <color indexed="64"/>
      </left>
      <right style="mediumDashDotDot">
        <color indexed="64"/>
      </right>
      <top/>
      <bottom style="mediumDashDotDot">
        <color indexed="64"/>
      </bottom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DashDotDot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DashDotDot">
        <color indexed="64"/>
      </bottom>
      <diagonal/>
    </border>
  </borders>
  <cellStyleXfs count="3">
    <xf numFmtId="0" fontId="0" fillId="0" borderId="0"/>
    <xf numFmtId="0" fontId="4" fillId="0" borderId="0"/>
    <xf numFmtId="43" fontId="66" fillId="0" borderId="0" applyFont="0" applyFill="0" applyBorder="0" applyAlignment="0" applyProtection="0"/>
  </cellStyleXfs>
  <cellXfs count="604">
    <xf numFmtId="0" fontId="0" fillId="0" borderId="0" xfId="0"/>
    <xf numFmtId="164" fontId="1" fillId="0" borderId="1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9" xfId="0" applyNumberFormat="1" applyFont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164" fontId="5" fillId="0" borderId="6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9" fontId="1" fillId="0" borderId="0" xfId="0" applyNumberFormat="1" applyFont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164" fontId="1" fillId="0" borderId="2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8" fillId="0" borderId="0" xfId="0" applyFont="1"/>
    <xf numFmtId="2" fontId="9" fillId="0" borderId="24" xfId="0" applyNumberFormat="1" applyFont="1" applyBorder="1" applyAlignment="1">
      <alignment vertical="center" wrapText="1"/>
    </xf>
    <xf numFmtId="164" fontId="0" fillId="0" borderId="0" xfId="0" applyNumberFormat="1"/>
    <xf numFmtId="0" fontId="10" fillId="0" borderId="26" xfId="0" applyFont="1" applyBorder="1" applyAlignment="1">
      <alignment vertical="center"/>
    </xf>
    <xf numFmtId="0" fontId="10" fillId="0" borderId="28" xfId="0" applyFont="1" applyBorder="1" applyAlignment="1">
      <alignment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0" fontId="11" fillId="3" borderId="26" xfId="0" applyFont="1" applyFill="1" applyBorder="1" applyAlignment="1">
      <alignment vertical="center"/>
    </xf>
    <xf numFmtId="0" fontId="11" fillId="3" borderId="28" xfId="0" applyFont="1" applyFill="1" applyBorder="1" applyAlignment="1">
      <alignment horizontal="right" vertical="center" wrapText="1"/>
    </xf>
    <xf numFmtId="0" fontId="11" fillId="3" borderId="28" xfId="0" applyFont="1" applyFill="1" applyBorder="1" applyAlignment="1">
      <alignment horizontal="center" vertical="center"/>
    </xf>
    <xf numFmtId="2" fontId="12" fillId="3" borderId="24" xfId="0" applyNumberFormat="1" applyFont="1" applyFill="1" applyBorder="1" applyAlignment="1">
      <alignment vertical="center" wrapText="1"/>
    </xf>
    <xf numFmtId="0" fontId="11" fillId="3" borderId="24" xfId="0" applyFont="1" applyFill="1" applyBorder="1" applyAlignment="1">
      <alignment vertical="center"/>
    </xf>
    <xf numFmtId="3" fontId="11" fillId="3" borderId="24" xfId="0" applyNumberFormat="1" applyFont="1" applyFill="1" applyBorder="1" applyAlignment="1">
      <alignment vertical="center"/>
    </xf>
    <xf numFmtId="0" fontId="11" fillId="0" borderId="24" xfId="0" applyFont="1" applyBorder="1" applyAlignment="1">
      <alignment vertical="center"/>
    </xf>
    <xf numFmtId="2" fontId="10" fillId="0" borderId="24" xfId="0" applyNumberFormat="1" applyFont="1" applyBorder="1" applyAlignment="1">
      <alignment vertical="center" wrapText="1"/>
    </xf>
    <xf numFmtId="2" fontId="11" fillId="3" borderId="24" xfId="0" applyNumberFormat="1" applyFont="1" applyFill="1" applyBorder="1" applyAlignment="1">
      <alignment vertical="center" wrapText="1"/>
    </xf>
    <xf numFmtId="0" fontId="13" fillId="3" borderId="24" xfId="0" applyFont="1" applyFill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3" fontId="10" fillId="0" borderId="24" xfId="0" applyNumberFormat="1" applyFont="1" applyBorder="1" applyAlignment="1">
      <alignment vertical="center" wrapText="1"/>
    </xf>
    <xf numFmtId="0" fontId="11" fillId="3" borderId="28" xfId="0" applyFont="1" applyFill="1" applyBorder="1" applyAlignment="1">
      <alignment horizontal="center" vertical="center" wrapText="1"/>
    </xf>
    <xf numFmtId="3" fontId="11" fillId="3" borderId="24" xfId="0" applyNumberFormat="1" applyFont="1" applyFill="1" applyBorder="1" applyAlignment="1">
      <alignment vertical="center" wrapText="1"/>
    </xf>
    <xf numFmtId="164" fontId="8" fillId="0" borderId="0" xfId="0" applyNumberFormat="1" applyFont="1"/>
    <xf numFmtId="0" fontId="10" fillId="0" borderId="28" xfId="0" applyFont="1" applyBorder="1" applyAlignment="1">
      <alignment vertical="center"/>
    </xf>
    <xf numFmtId="0" fontId="10" fillId="0" borderId="28" xfId="0" applyFont="1" applyBorder="1" applyAlignment="1">
      <alignment horizontal="left" vertical="center" wrapText="1"/>
    </xf>
    <xf numFmtId="2" fontId="10" fillId="3" borderId="24" xfId="0" applyNumberFormat="1" applyFont="1" applyFill="1" applyBorder="1" applyAlignment="1">
      <alignment vertical="center" wrapText="1"/>
    </xf>
    <xf numFmtId="0" fontId="10" fillId="5" borderId="26" xfId="0" applyFont="1" applyFill="1" applyBorder="1" applyAlignment="1">
      <alignment vertical="center"/>
    </xf>
    <xf numFmtId="0" fontId="10" fillId="5" borderId="28" xfId="0" applyFont="1" applyFill="1" applyBorder="1" applyAlignment="1">
      <alignment vertical="center" wrapText="1"/>
    </xf>
    <xf numFmtId="0" fontId="11" fillId="5" borderId="28" xfId="0" applyFont="1" applyFill="1" applyBorder="1" applyAlignment="1">
      <alignment horizontal="center" vertical="center"/>
    </xf>
    <xf numFmtId="2" fontId="11" fillId="5" borderId="24" xfId="0" applyNumberFormat="1" applyFont="1" applyFill="1" applyBorder="1" applyAlignment="1">
      <alignment vertical="center" wrapText="1"/>
    </xf>
    <xf numFmtId="0" fontId="11" fillId="5" borderId="24" xfId="0" applyFont="1" applyFill="1" applyBorder="1" applyAlignment="1">
      <alignment vertical="center"/>
    </xf>
    <xf numFmtId="3" fontId="10" fillId="5" borderId="24" xfId="0" applyNumberFormat="1" applyFont="1" applyFill="1" applyBorder="1" applyAlignment="1">
      <alignment vertical="center"/>
    </xf>
    <xf numFmtId="2" fontId="10" fillId="0" borderId="28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2" fontId="11" fillId="3" borderId="28" xfId="0" applyNumberFormat="1" applyFont="1" applyFill="1" applyBorder="1" applyAlignment="1">
      <alignment horizontal="right" vertical="center"/>
    </xf>
    <xf numFmtId="0" fontId="10" fillId="3" borderId="26" xfId="0" applyFont="1" applyFill="1" applyBorder="1" applyAlignment="1">
      <alignment vertical="center"/>
    </xf>
    <xf numFmtId="0" fontId="10" fillId="3" borderId="28" xfId="0" applyFont="1" applyFill="1" applyBorder="1" applyAlignment="1">
      <alignment vertical="center" wrapText="1"/>
    </xf>
    <xf numFmtId="0" fontId="10" fillId="3" borderId="28" xfId="0" applyFont="1" applyFill="1" applyBorder="1" applyAlignment="1">
      <alignment horizontal="center" vertical="center"/>
    </xf>
    <xf numFmtId="2" fontId="10" fillId="3" borderId="28" xfId="0" applyNumberFormat="1" applyFont="1" applyFill="1" applyBorder="1" applyAlignment="1">
      <alignment horizontal="right" vertical="center"/>
    </xf>
    <xf numFmtId="3" fontId="10" fillId="3" borderId="24" xfId="0" applyNumberFormat="1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0" fillId="6" borderId="26" xfId="0" applyFont="1" applyFill="1" applyBorder="1" applyAlignment="1">
      <alignment vertical="center"/>
    </xf>
    <xf numFmtId="0" fontId="10" fillId="5" borderId="28" xfId="0" applyFont="1" applyFill="1" applyBorder="1" applyAlignment="1">
      <alignment horizontal="center" vertical="center"/>
    </xf>
    <xf numFmtId="2" fontId="10" fillId="5" borderId="28" xfId="0" applyNumberFormat="1" applyFont="1" applyFill="1" applyBorder="1" applyAlignment="1">
      <alignment horizontal="right" vertical="center"/>
    </xf>
    <xf numFmtId="0" fontId="10" fillId="5" borderId="24" xfId="0" applyFont="1" applyFill="1" applyBorder="1" applyAlignment="1">
      <alignment vertical="center"/>
    </xf>
    <xf numFmtId="0" fontId="0" fillId="0" borderId="0" xfId="0" applyAlignment="1">
      <alignment wrapText="1"/>
    </xf>
    <xf numFmtId="0" fontId="10" fillId="6" borderId="28" xfId="0" applyFont="1" applyFill="1" applyBorder="1" applyAlignment="1">
      <alignment vertical="center" wrapText="1"/>
    </xf>
    <xf numFmtId="0" fontId="10" fillId="6" borderId="28" xfId="0" applyFont="1" applyFill="1" applyBorder="1" applyAlignment="1">
      <alignment horizontal="center" vertical="center"/>
    </xf>
    <xf numFmtId="2" fontId="10" fillId="6" borderId="28" xfId="0" applyNumberFormat="1" applyFont="1" applyFill="1" applyBorder="1" applyAlignment="1">
      <alignment horizontal="right" vertical="center"/>
    </xf>
    <xf numFmtId="3" fontId="10" fillId="6" borderId="24" xfId="0" applyNumberFormat="1" applyFont="1" applyFill="1" applyBorder="1" applyAlignment="1">
      <alignment vertical="center"/>
    </xf>
    <xf numFmtId="2" fontId="10" fillId="0" borderId="28" xfId="0" applyNumberFormat="1" applyFont="1" applyBorder="1" applyAlignment="1">
      <alignment vertical="center"/>
    </xf>
    <xf numFmtId="2" fontId="0" fillId="0" borderId="0" xfId="0" applyNumberFormat="1"/>
    <xf numFmtId="3" fontId="0" fillId="0" borderId="0" xfId="0" applyNumberFormat="1"/>
    <xf numFmtId="0" fontId="9" fillId="0" borderId="24" xfId="0" applyFont="1" applyBorder="1" applyAlignment="1">
      <alignment vertical="center" wrapText="1"/>
    </xf>
    <xf numFmtId="3" fontId="11" fillId="0" borderId="24" xfId="0" applyNumberFormat="1" applyFont="1" applyBorder="1" applyAlignment="1">
      <alignment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vertical="center"/>
    </xf>
    <xf numFmtId="0" fontId="11" fillId="0" borderId="28" xfId="0" applyFont="1" applyBorder="1" applyAlignment="1">
      <alignment horizontal="right" vertical="center"/>
    </xf>
    <xf numFmtId="0" fontId="11" fillId="0" borderId="28" xfId="0" applyFont="1" applyBorder="1" applyAlignment="1">
      <alignment horizontal="center" vertical="center"/>
    </xf>
    <xf numFmtId="165" fontId="12" fillId="0" borderId="24" xfId="0" applyNumberFormat="1" applyFont="1" applyBorder="1" applyAlignment="1">
      <alignment vertical="center" wrapText="1"/>
    </xf>
    <xf numFmtId="3" fontId="11" fillId="0" borderId="25" xfId="0" applyNumberFormat="1" applyFont="1" applyBorder="1" applyAlignment="1">
      <alignment vertical="center"/>
    </xf>
    <xf numFmtId="0" fontId="14" fillId="0" borderId="0" xfId="0" applyFont="1" applyAlignment="1">
      <alignment vertical="center" wrapText="1"/>
    </xf>
    <xf numFmtId="165" fontId="10" fillId="0" borderId="28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0" fontId="9" fillId="3" borderId="24" xfId="0" applyFont="1" applyFill="1" applyBorder="1" applyAlignment="1">
      <alignment vertical="center" wrapText="1"/>
    </xf>
    <xf numFmtId="0" fontId="9" fillId="3" borderId="25" xfId="0" applyFont="1" applyFill="1" applyBorder="1" applyAlignment="1">
      <alignment vertical="center" wrapText="1"/>
    </xf>
    <xf numFmtId="165" fontId="12" fillId="3" borderId="24" xfId="0" applyNumberFormat="1" applyFont="1" applyFill="1" applyBorder="1" applyAlignment="1">
      <alignment vertical="center" wrapText="1"/>
    </xf>
    <xf numFmtId="3" fontId="10" fillId="3" borderId="25" xfId="0" applyNumberFormat="1" applyFont="1" applyFill="1" applyBorder="1" applyAlignment="1">
      <alignment vertical="center"/>
    </xf>
    <xf numFmtId="165" fontId="12" fillId="3" borderId="2" xfId="0" applyNumberFormat="1" applyFont="1" applyFill="1" applyBorder="1" applyAlignment="1">
      <alignment vertical="center" wrapText="1"/>
    </xf>
    <xf numFmtId="164" fontId="15" fillId="0" borderId="0" xfId="0" applyNumberFormat="1" applyFont="1" applyAlignment="1">
      <alignment vertical="center"/>
    </xf>
    <xf numFmtId="164" fontId="1" fillId="8" borderId="1" xfId="0" applyNumberFormat="1" applyFont="1" applyFill="1" applyBorder="1" applyAlignment="1">
      <alignment vertical="center"/>
    </xf>
    <xf numFmtId="164" fontId="1" fillId="8" borderId="6" xfId="0" applyNumberFormat="1" applyFont="1" applyFill="1" applyBorder="1" applyAlignment="1">
      <alignment vertical="center"/>
    </xf>
    <xf numFmtId="164" fontId="1" fillId="8" borderId="1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6" fontId="0" fillId="0" borderId="0" xfId="0" applyNumberFormat="1"/>
    <xf numFmtId="0" fontId="19" fillId="0" borderId="0" xfId="0" applyFont="1"/>
    <xf numFmtId="0" fontId="21" fillId="4" borderId="31" xfId="0" applyFont="1" applyFill="1" applyBorder="1"/>
    <xf numFmtId="0" fontId="22" fillId="11" borderId="31" xfId="0" applyFont="1" applyFill="1" applyBorder="1"/>
    <xf numFmtId="0" fontId="23" fillId="9" borderId="25" xfId="0" applyFont="1" applyFill="1" applyBorder="1" applyAlignment="1">
      <alignment horizontal="center"/>
    </xf>
    <xf numFmtId="0" fontId="22" fillId="11" borderId="26" xfId="0" applyFont="1" applyFill="1" applyBorder="1" applyAlignment="1">
      <alignment wrapText="1"/>
    </xf>
    <xf numFmtId="0" fontId="19" fillId="4" borderId="0" xfId="0" applyFont="1" applyFill="1"/>
    <xf numFmtId="0" fontId="0" fillId="4" borderId="0" xfId="0" applyFill="1"/>
    <xf numFmtId="0" fontId="24" fillId="4" borderId="32" xfId="0" applyFont="1" applyFill="1" applyBorder="1"/>
    <xf numFmtId="167" fontId="19" fillId="9" borderId="33" xfId="0" applyNumberFormat="1" applyFont="1" applyFill="1" applyBorder="1"/>
    <xf numFmtId="0" fontId="24" fillId="4" borderId="34" xfId="0" applyFont="1" applyFill="1" applyBorder="1"/>
    <xf numFmtId="164" fontId="19" fillId="2" borderId="5" xfId="0" applyNumberFormat="1" applyFont="1" applyFill="1" applyBorder="1"/>
    <xf numFmtId="0" fontId="0" fillId="4" borderId="36" xfId="0" applyFill="1" applyBorder="1"/>
    <xf numFmtId="0" fontId="24" fillId="4" borderId="37" xfId="0" applyFont="1" applyFill="1" applyBorder="1"/>
    <xf numFmtId="0" fontId="24" fillId="13" borderId="32" xfId="0" applyFont="1" applyFill="1" applyBorder="1"/>
    <xf numFmtId="0" fontId="19" fillId="13" borderId="0" xfId="0" applyFont="1" applyFill="1"/>
    <xf numFmtId="0" fontId="26" fillId="13" borderId="32" xfId="0" applyFont="1" applyFill="1" applyBorder="1"/>
    <xf numFmtId="164" fontId="19" fillId="4" borderId="5" xfId="0" applyNumberFormat="1" applyFont="1" applyFill="1" applyBorder="1"/>
    <xf numFmtId="167" fontId="19" fillId="13" borderId="23" xfId="0" applyNumberFormat="1" applyFont="1" applyFill="1" applyBorder="1"/>
    <xf numFmtId="167" fontId="19" fillId="13" borderId="9" xfId="0" applyNumberFormat="1" applyFont="1" applyFill="1" applyBorder="1"/>
    <xf numFmtId="0" fontId="24" fillId="13" borderId="38" xfId="0" applyFont="1" applyFill="1" applyBorder="1"/>
    <xf numFmtId="0" fontId="27" fillId="0" borderId="40" xfId="0" applyFont="1" applyBorder="1" applyAlignment="1">
      <alignment wrapText="1"/>
    </xf>
    <xf numFmtId="164" fontId="27" fillId="0" borderId="26" xfId="0" applyNumberFormat="1" applyFont="1" applyBorder="1"/>
    <xf numFmtId="164" fontId="27" fillId="0" borderId="25" xfId="0" applyNumberFormat="1" applyFont="1" applyBorder="1"/>
    <xf numFmtId="0" fontId="27" fillId="0" borderId="0" xfId="0" applyFont="1"/>
    <xf numFmtId="0" fontId="29" fillId="0" borderId="0" xfId="0" applyFont="1"/>
    <xf numFmtId="164" fontId="27" fillId="0" borderId="0" xfId="0" applyNumberFormat="1" applyFont="1"/>
    <xf numFmtId="0" fontId="19" fillId="0" borderId="24" xfId="0" applyFont="1" applyBorder="1"/>
    <xf numFmtId="167" fontId="21" fillId="16" borderId="25" xfId="0" applyNumberFormat="1" applyFont="1" applyFill="1" applyBorder="1"/>
    <xf numFmtId="167" fontId="32" fillId="17" borderId="24" xfId="0" applyNumberFormat="1" applyFont="1" applyFill="1" applyBorder="1"/>
    <xf numFmtId="164" fontId="32" fillId="18" borderId="42" xfId="0" applyNumberFormat="1" applyFont="1" applyFill="1" applyBorder="1"/>
    <xf numFmtId="164" fontId="19" fillId="0" borderId="0" xfId="0" applyNumberFormat="1" applyFont="1"/>
    <xf numFmtId="44" fontId="19" fillId="0" borderId="0" xfId="0" applyNumberFormat="1" applyFont="1"/>
    <xf numFmtId="0" fontId="34" fillId="0" borderId="0" xfId="0" applyFont="1" applyAlignment="1">
      <alignment horizontal="right"/>
    </xf>
    <xf numFmtId="0" fontId="22" fillId="0" borderId="0" xfId="0" applyFont="1"/>
    <xf numFmtId="164" fontId="34" fillId="0" borderId="0" xfId="0" applyNumberFormat="1" applyFont="1" applyAlignment="1">
      <alignment horizontal="right"/>
    </xf>
    <xf numFmtId="167" fontId="19" fillId="0" borderId="0" xfId="0" applyNumberFormat="1" applyFont="1"/>
    <xf numFmtId="164" fontId="33" fillId="0" borderId="0" xfId="0" applyNumberFormat="1" applyFont="1"/>
    <xf numFmtId="164" fontId="38" fillId="0" borderId="0" xfId="0" applyNumberFormat="1" applyFont="1"/>
    <xf numFmtId="0" fontId="19" fillId="0" borderId="36" xfId="0" applyFont="1" applyBorder="1"/>
    <xf numFmtId="164" fontId="32" fillId="0" borderId="36" xfId="0" applyNumberFormat="1" applyFont="1" applyBorder="1"/>
    <xf numFmtId="164" fontId="19" fillId="0" borderId="36" xfId="0" applyNumberFormat="1" applyFont="1" applyBorder="1"/>
    <xf numFmtId="164" fontId="39" fillId="0" borderId="36" xfId="0" applyNumberFormat="1" applyFont="1" applyBorder="1"/>
    <xf numFmtId="164" fontId="19" fillId="4" borderId="36" xfId="0" applyNumberFormat="1" applyFont="1" applyFill="1" applyBorder="1"/>
    <xf numFmtId="0" fontId="0" fillId="0" borderId="25" xfId="0" applyBorder="1"/>
    <xf numFmtId="0" fontId="40" fillId="0" borderId="0" xfId="0" applyFont="1"/>
    <xf numFmtId="0" fontId="40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0" fillId="4" borderId="35" xfId="0" applyFill="1" applyBorder="1" applyAlignment="1">
      <alignment horizontal="center"/>
    </xf>
    <xf numFmtId="1" fontId="0" fillId="4" borderId="35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1" fontId="8" fillId="4" borderId="25" xfId="0" applyNumberFormat="1" applyFont="1" applyFill="1" applyBorder="1" applyAlignment="1">
      <alignment horizontal="center"/>
    </xf>
    <xf numFmtId="164" fontId="8" fillId="4" borderId="25" xfId="0" applyNumberFormat="1" applyFont="1" applyFill="1" applyBorder="1" applyAlignment="1">
      <alignment horizontal="center"/>
    </xf>
    <xf numFmtId="0" fontId="8" fillId="4" borderId="0" xfId="0" applyFont="1" applyFill="1"/>
    <xf numFmtId="0" fontId="0" fillId="4" borderId="0" xfId="0" applyFill="1" applyAlignment="1">
      <alignment horizontal="center"/>
    </xf>
    <xf numFmtId="0" fontId="0" fillId="11" borderId="0" xfId="0" applyFill="1" applyAlignment="1">
      <alignment horizontal="center"/>
    </xf>
    <xf numFmtId="164" fontId="7" fillId="11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8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9" fillId="0" borderId="0" xfId="0" applyFont="1" applyAlignment="1">
      <alignment vertical="center"/>
    </xf>
    <xf numFmtId="0" fontId="25" fillId="0" borderId="0" xfId="0" applyFont="1"/>
    <xf numFmtId="0" fontId="34" fillId="0" borderId="0" xfId="0" applyFont="1" applyAlignment="1">
      <alignment horizontal="center" wrapText="1"/>
    </xf>
    <xf numFmtId="164" fontId="19" fillId="0" borderId="0" xfId="0" applyNumberFormat="1" applyFont="1" applyAlignment="1">
      <alignment horizontal="right"/>
    </xf>
    <xf numFmtId="0" fontId="24" fillId="0" borderId="0" xfId="0" applyFont="1"/>
    <xf numFmtId="164" fontId="32" fillId="11" borderId="0" xfId="0" applyNumberFormat="1" applyFont="1" applyFill="1"/>
    <xf numFmtId="0" fontId="19" fillId="0" borderId="0" xfId="0" applyFont="1" applyAlignment="1">
      <alignment horizontal="right"/>
    </xf>
    <xf numFmtId="0" fontId="19" fillId="11" borderId="0" xfId="0" applyFont="1" applyFill="1"/>
    <xf numFmtId="164" fontId="32" fillId="4" borderId="0" xfId="0" applyNumberFormat="1" applyFont="1" applyFill="1"/>
    <xf numFmtId="0" fontId="19" fillId="4" borderId="0" xfId="0" applyFont="1" applyFill="1" applyAlignment="1">
      <alignment horizontal="right"/>
    </xf>
    <xf numFmtId="164" fontId="25" fillId="4" borderId="0" xfId="0" applyNumberFormat="1" applyFont="1" applyFill="1"/>
    <xf numFmtId="164" fontId="41" fillId="11" borderId="0" xfId="0" applyNumberFormat="1" applyFont="1" applyFill="1"/>
    <xf numFmtId="0" fontId="25" fillId="4" borderId="0" xfId="0" applyFont="1" applyFill="1"/>
    <xf numFmtId="164" fontId="32" fillId="7" borderId="0" xfId="0" applyNumberFormat="1" applyFont="1" applyFill="1"/>
    <xf numFmtId="164" fontId="19" fillId="4" borderId="0" xfId="0" applyNumberFormat="1" applyFont="1" applyFill="1"/>
    <xf numFmtId="164" fontId="42" fillId="4" borderId="0" xfId="0" applyNumberFormat="1" applyFont="1" applyFill="1"/>
    <xf numFmtId="164" fontId="19" fillId="7" borderId="0" xfId="0" applyNumberFormat="1" applyFont="1" applyFill="1"/>
    <xf numFmtId="164" fontId="1" fillId="0" borderId="11" xfId="0" applyNumberFormat="1" applyFont="1" applyBorder="1" applyAlignment="1">
      <alignment horizontal="center" vertical="center" wrapText="1"/>
    </xf>
    <xf numFmtId="164" fontId="15" fillId="0" borderId="11" xfId="0" applyNumberFormat="1" applyFont="1" applyBorder="1" applyAlignment="1">
      <alignment horizontal="center" vertical="center" wrapText="1"/>
    </xf>
    <xf numFmtId="164" fontId="43" fillId="0" borderId="9" xfId="0" applyNumberFormat="1" applyFont="1" applyBorder="1" applyAlignment="1">
      <alignment vertical="center"/>
    </xf>
    <xf numFmtId="0" fontId="44" fillId="0" borderId="0" xfId="0" applyFont="1" applyAlignment="1">
      <alignment horizontal="left" vertical="center"/>
    </xf>
    <xf numFmtId="164" fontId="44" fillId="0" borderId="0" xfId="0" applyNumberFormat="1" applyFont="1" applyAlignment="1">
      <alignment vertical="center"/>
    </xf>
    <xf numFmtId="164" fontId="45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 wrapText="1"/>
    </xf>
    <xf numFmtId="164" fontId="43" fillId="0" borderId="8" xfId="0" applyNumberFormat="1" applyFont="1" applyBorder="1" applyAlignment="1">
      <alignment horizontal="center" vertical="center" wrapText="1"/>
    </xf>
    <xf numFmtId="164" fontId="43" fillId="0" borderId="16" xfId="0" applyNumberFormat="1" applyFont="1" applyBorder="1" applyAlignment="1">
      <alignment horizontal="center" vertical="center" wrapText="1"/>
    </xf>
    <xf numFmtId="164" fontId="43" fillId="0" borderId="18" xfId="0" applyNumberFormat="1" applyFont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 vertical="center" wrapText="1"/>
    </xf>
    <xf numFmtId="164" fontId="43" fillId="8" borderId="10" xfId="0" applyNumberFormat="1" applyFont="1" applyFill="1" applyBorder="1" applyAlignment="1">
      <alignment vertical="center"/>
    </xf>
    <xf numFmtId="164" fontId="43" fillId="0" borderId="10" xfId="0" applyNumberFormat="1" applyFont="1" applyBorder="1" applyAlignment="1">
      <alignment vertical="center"/>
    </xf>
    <xf numFmtId="164" fontId="43" fillId="0" borderId="19" xfId="0" applyNumberFormat="1" applyFont="1" applyBorder="1" applyAlignment="1">
      <alignment vertical="center"/>
    </xf>
    <xf numFmtId="164" fontId="15" fillId="0" borderId="10" xfId="0" applyNumberFormat="1" applyFont="1" applyBorder="1" applyAlignment="1">
      <alignment vertical="center"/>
    </xf>
    <xf numFmtId="164" fontId="43" fillId="0" borderId="0" xfId="0" applyNumberFormat="1" applyFont="1" applyAlignment="1">
      <alignment horizontal="center" vertical="center" wrapText="1"/>
    </xf>
    <xf numFmtId="164" fontId="43" fillId="0" borderId="1" xfId="0" applyNumberFormat="1" applyFont="1" applyBorder="1" applyAlignment="1">
      <alignment horizontal="center" vertical="center" wrapText="1"/>
    </xf>
    <xf numFmtId="10" fontId="5" fillId="0" borderId="0" xfId="0" applyNumberFormat="1" applyFont="1" applyAlignment="1">
      <alignment horizontal="left" vertical="center" wrapText="1"/>
    </xf>
    <xf numFmtId="10" fontId="46" fillId="0" borderId="0" xfId="0" applyNumberFormat="1" applyFont="1" applyAlignment="1">
      <alignment vertical="center"/>
    </xf>
    <xf numFmtId="164" fontId="15" fillId="0" borderId="20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43" fillId="0" borderId="0" xfId="0" applyNumberFormat="1" applyFont="1" applyAlignment="1">
      <alignment vertical="center"/>
    </xf>
    <xf numFmtId="164" fontId="15" fillId="0" borderId="16" xfId="0" applyNumberFormat="1" applyFont="1" applyBorder="1" applyAlignment="1">
      <alignment horizontal="center" vertical="center" wrapText="1"/>
    </xf>
    <xf numFmtId="164" fontId="46" fillId="0" borderId="0" xfId="0" applyNumberFormat="1" applyFont="1" applyAlignment="1">
      <alignment vertical="center"/>
    </xf>
    <xf numFmtId="164" fontId="47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left" vertical="center" wrapText="1"/>
    </xf>
    <xf numFmtId="164" fontId="43" fillId="0" borderId="1" xfId="0" applyNumberFormat="1" applyFont="1" applyBorder="1" applyAlignment="1">
      <alignment vertical="center"/>
    </xf>
    <xf numFmtId="164" fontId="43" fillId="0" borderId="17" xfId="0" applyNumberFormat="1" applyFont="1" applyBorder="1" applyAlignment="1">
      <alignment vertical="center"/>
    </xf>
    <xf numFmtId="164" fontId="46" fillId="0" borderId="9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64" fontId="1" fillId="0" borderId="0" xfId="0" applyNumberFormat="1" applyFont="1" applyAlignment="1">
      <alignment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13" xfId="0" applyNumberFormat="1" applyFont="1" applyBorder="1" applyAlignment="1">
      <alignment vertical="center" wrapText="1"/>
    </xf>
    <xf numFmtId="0" fontId="1" fillId="8" borderId="1" xfId="1" applyFont="1" applyFill="1" applyBorder="1"/>
    <xf numFmtId="164" fontId="1" fillId="8" borderId="14" xfId="0" applyNumberFormat="1" applyFont="1" applyFill="1" applyBorder="1" applyAlignment="1">
      <alignment horizontal="left" vertical="center" wrapText="1"/>
    </xf>
    <xf numFmtId="164" fontId="1" fillId="8" borderId="15" xfId="0" applyNumberFormat="1" applyFont="1" applyFill="1" applyBorder="1" applyAlignment="1">
      <alignment horizontal="left" vertical="center" wrapText="1"/>
    </xf>
    <xf numFmtId="164" fontId="1" fillId="8" borderId="5" xfId="0" applyNumberFormat="1" applyFont="1" applyFill="1" applyBorder="1" applyAlignment="1">
      <alignment horizontal="left" vertical="center" wrapText="1"/>
    </xf>
    <xf numFmtId="164" fontId="5" fillId="0" borderId="12" xfId="0" applyNumberFormat="1" applyFont="1" applyBorder="1" applyAlignment="1">
      <alignment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164" fontId="44" fillId="2" borderId="0" xfId="0" applyNumberFormat="1" applyFont="1" applyFill="1" applyAlignment="1">
      <alignment vertical="center"/>
    </xf>
    <xf numFmtId="164" fontId="1" fillId="2" borderId="2" xfId="0" applyNumberFormat="1" applyFont="1" applyFill="1" applyBorder="1" applyAlignment="1">
      <alignment vertical="center"/>
    </xf>
    <xf numFmtId="164" fontId="43" fillId="2" borderId="8" xfId="0" applyNumberFormat="1" applyFont="1" applyFill="1" applyBorder="1" applyAlignment="1">
      <alignment horizontal="center" vertical="center" wrapText="1"/>
    </xf>
    <xf numFmtId="164" fontId="43" fillId="2" borderId="10" xfId="0" applyNumberFormat="1" applyFont="1" applyFill="1" applyBorder="1" applyAlignment="1">
      <alignment vertical="center"/>
    </xf>
    <xf numFmtId="164" fontId="43" fillId="2" borderId="0" xfId="0" applyNumberFormat="1" applyFont="1" applyFill="1" applyAlignment="1">
      <alignment horizontal="center" vertical="center" wrapText="1"/>
    </xf>
    <xf numFmtId="10" fontId="46" fillId="2" borderId="0" xfId="0" applyNumberFormat="1" applyFont="1" applyFill="1" applyAlignment="1">
      <alignment vertical="center"/>
    </xf>
    <xf numFmtId="164" fontId="15" fillId="2" borderId="11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vertical="center"/>
    </xf>
    <xf numFmtId="164" fontId="1" fillId="2" borderId="14" xfId="0" applyNumberFormat="1" applyFont="1" applyFill="1" applyBorder="1" applyAlignment="1">
      <alignment vertical="center"/>
    </xf>
    <xf numFmtId="164" fontId="43" fillId="2" borderId="0" xfId="0" applyNumberFormat="1" applyFont="1" applyFill="1" applyAlignment="1">
      <alignment vertical="center"/>
    </xf>
    <xf numFmtId="164" fontId="1" fillId="2" borderId="11" xfId="0" applyNumberFormat="1" applyFont="1" applyFill="1" applyBorder="1" applyAlignment="1">
      <alignment horizontal="center" vertical="center" wrapText="1"/>
    </xf>
    <xf numFmtId="164" fontId="46" fillId="2" borderId="0" xfId="0" applyNumberFormat="1" applyFont="1" applyFill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164" fontId="43" fillId="2" borderId="1" xfId="0" applyNumberFormat="1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164" fontId="5" fillId="2" borderId="6" xfId="0" applyNumberFormat="1" applyFont="1" applyFill="1" applyBorder="1" applyAlignment="1">
      <alignment vertical="center"/>
    </xf>
    <xf numFmtId="164" fontId="15" fillId="2" borderId="20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vertical="center"/>
    </xf>
    <xf numFmtId="164" fontId="43" fillId="2" borderId="17" xfId="0" applyNumberFormat="1" applyFont="1" applyFill="1" applyBorder="1" applyAlignment="1">
      <alignment vertical="center"/>
    </xf>
    <xf numFmtId="164" fontId="44" fillId="2" borderId="1" xfId="0" applyNumberFormat="1" applyFont="1" applyFill="1" applyBorder="1" applyAlignment="1">
      <alignment vertical="center"/>
    </xf>
    <xf numFmtId="164" fontId="43" fillId="2" borderId="1" xfId="0" applyNumberFormat="1" applyFont="1" applyFill="1" applyBorder="1" applyAlignment="1">
      <alignment horizontal="center" vertical="center" wrapText="1"/>
    </xf>
    <xf numFmtId="10" fontId="46" fillId="2" borderId="1" xfId="0" applyNumberFormat="1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horizontal="center" vertical="center" wrapText="1"/>
    </xf>
    <xf numFmtId="164" fontId="43" fillId="2" borderId="14" xfId="0" applyNumberFormat="1" applyFont="1" applyFill="1" applyBorder="1" applyAlignment="1">
      <alignment vertical="center"/>
    </xf>
    <xf numFmtId="165" fontId="12" fillId="2" borderId="24" xfId="0" applyNumberFormat="1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165" fontId="0" fillId="0" borderId="0" xfId="0" applyNumberFormat="1"/>
    <xf numFmtId="165" fontId="12" fillId="3" borderId="24" xfId="0" applyNumberFormat="1" applyFont="1" applyFill="1" applyBorder="1" applyAlignment="1">
      <alignment vertical="center"/>
    </xf>
    <xf numFmtId="165" fontId="12" fillId="2" borderId="2" xfId="0" applyNumberFormat="1" applyFont="1" applyFill="1" applyBorder="1" applyAlignment="1">
      <alignment vertical="center" wrapText="1"/>
    </xf>
    <xf numFmtId="3" fontId="11" fillId="0" borderId="1" xfId="0" applyNumberFormat="1" applyFont="1" applyBorder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0" fillId="5" borderId="1" xfId="0" applyNumberFormat="1" applyFont="1" applyFill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3" fontId="10" fillId="6" borderId="1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164" fontId="15" fillId="2" borderId="29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vertical="center"/>
    </xf>
    <xf numFmtId="164" fontId="15" fillId="2" borderId="9" xfId="0" applyNumberFormat="1" applyFont="1" applyFill="1" applyBorder="1" applyAlignment="1">
      <alignment vertical="center"/>
    </xf>
    <xf numFmtId="164" fontId="1" fillId="2" borderId="4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/>
    </xf>
    <xf numFmtId="164" fontId="1" fillId="0" borderId="1" xfId="0" applyNumberFormat="1" applyFont="1" applyBorder="1" applyAlignment="1">
      <alignment horizontal="center"/>
    </xf>
    <xf numFmtId="164" fontId="32" fillId="0" borderId="0" xfId="0" applyNumberFormat="1" applyFont="1" applyAlignment="1">
      <alignment horizontal="center"/>
    </xf>
    <xf numFmtId="0" fontId="0" fillId="2" borderId="35" xfId="0" applyFill="1" applyBorder="1" applyAlignment="1">
      <alignment horizontal="center"/>
    </xf>
    <xf numFmtId="0" fontId="39" fillId="4" borderId="0" xfId="0" applyFont="1" applyFill="1" applyAlignment="1">
      <alignment horizontal="center"/>
    </xf>
    <xf numFmtId="164" fontId="25" fillId="0" borderId="1" xfId="0" applyNumberFormat="1" applyFont="1" applyBorder="1"/>
    <xf numFmtId="0" fontId="39" fillId="4" borderId="0" xfId="0" applyFont="1" applyFill="1"/>
    <xf numFmtId="1" fontId="39" fillId="4" borderId="0" xfId="0" applyNumberFormat="1" applyFont="1" applyFill="1"/>
    <xf numFmtId="0" fontId="19" fillId="4" borderId="31" xfId="0" applyFont="1" applyFill="1" applyBorder="1"/>
    <xf numFmtId="164" fontId="19" fillId="20" borderId="5" xfId="0" applyNumberFormat="1" applyFont="1" applyFill="1" applyBorder="1"/>
    <xf numFmtId="164" fontId="0" fillId="4" borderId="35" xfId="0" applyNumberFormat="1" applyFill="1" applyBorder="1" applyAlignment="1">
      <alignment horizontal="center"/>
    </xf>
    <xf numFmtId="164" fontId="0" fillId="13" borderId="35" xfId="0" applyNumberFormat="1" applyFill="1" applyBorder="1" applyAlignment="1">
      <alignment horizontal="center"/>
    </xf>
    <xf numFmtId="167" fontId="0" fillId="4" borderId="0" xfId="0" applyNumberFormat="1" applyFill="1" applyAlignment="1">
      <alignment horizontal="right"/>
    </xf>
    <xf numFmtId="167" fontId="19" fillId="4" borderId="9" xfId="0" applyNumberFormat="1" applyFont="1" applyFill="1" applyBorder="1"/>
    <xf numFmtId="167" fontId="19" fillId="4" borderId="23" xfId="0" applyNumberFormat="1" applyFont="1" applyFill="1" applyBorder="1"/>
    <xf numFmtId="167" fontId="0" fillId="4" borderId="0" xfId="0" applyNumberFormat="1" applyFill="1" applyAlignment="1">
      <alignment horizontal="center"/>
    </xf>
    <xf numFmtId="167" fontId="0" fillId="13" borderId="0" xfId="0" applyNumberFormat="1" applyFill="1" applyAlignment="1">
      <alignment horizontal="center"/>
    </xf>
    <xf numFmtId="164" fontId="0" fillId="13" borderId="0" xfId="0" applyNumberFormat="1" applyFill="1" applyAlignment="1">
      <alignment horizontal="center"/>
    </xf>
    <xf numFmtId="167" fontId="28" fillId="14" borderId="24" xfId="0" applyNumberFormat="1" applyFont="1" applyFill="1" applyBorder="1"/>
    <xf numFmtId="164" fontId="19" fillId="13" borderId="0" xfId="0" applyNumberFormat="1" applyFont="1" applyFill="1"/>
    <xf numFmtId="0" fontId="27" fillId="0" borderId="0" xfId="0" applyFont="1" applyAlignment="1">
      <alignment wrapText="1"/>
    </xf>
    <xf numFmtId="167" fontId="28" fillId="14" borderId="3" xfId="0" applyNumberFormat="1" applyFont="1" applyFill="1" applyBorder="1"/>
    <xf numFmtId="164" fontId="30" fillId="15" borderId="25" xfId="0" applyNumberFormat="1" applyFont="1" applyFill="1" applyBorder="1"/>
    <xf numFmtId="164" fontId="30" fillId="15" borderId="30" xfId="0" applyNumberFormat="1" applyFont="1" applyFill="1" applyBorder="1"/>
    <xf numFmtId="164" fontId="39" fillId="0" borderId="0" xfId="0" applyNumberFormat="1" applyFont="1"/>
    <xf numFmtId="3" fontId="51" fillId="0" borderId="0" xfId="0" applyNumberFormat="1" applyFont="1"/>
    <xf numFmtId="164" fontId="36" fillId="0" borderId="0" xfId="0" applyNumberFormat="1" applyFont="1"/>
    <xf numFmtId="0" fontId="32" fillId="0" borderId="0" xfId="0" applyFont="1"/>
    <xf numFmtId="168" fontId="52" fillId="0" borderId="0" xfId="0" applyNumberFormat="1" applyFont="1" applyAlignment="1">
      <alignment horizontal="left"/>
    </xf>
    <xf numFmtId="168" fontId="51" fillId="0" borderId="0" xfId="0" applyNumberFormat="1" applyFont="1"/>
    <xf numFmtId="0" fontId="36" fillId="0" borderId="0" xfId="0" applyFont="1"/>
    <xf numFmtId="167" fontId="53" fillId="0" borderId="0" xfId="0" applyNumberFormat="1" applyFont="1"/>
    <xf numFmtId="164" fontId="37" fillId="0" borderId="0" xfId="0" applyNumberFormat="1" applyFont="1"/>
    <xf numFmtId="164" fontId="51" fillId="0" borderId="0" xfId="0" applyNumberFormat="1" applyFont="1"/>
    <xf numFmtId="1" fontId="0" fillId="4" borderId="0" xfId="0" applyNumberFormat="1" applyFill="1" applyAlignment="1">
      <alignment horizontal="center"/>
    </xf>
    <xf numFmtId="1" fontId="0" fillId="4" borderId="43" xfId="0" applyNumberFormat="1" applyFill="1" applyBorder="1" applyAlignment="1">
      <alignment horizontal="center"/>
    </xf>
    <xf numFmtId="0" fontId="0" fillId="4" borderId="0" xfId="0" applyFill="1" applyAlignment="1">
      <alignment horizontal="right"/>
    </xf>
    <xf numFmtId="164" fontId="0" fillId="4" borderId="0" xfId="0" applyNumberFormat="1" applyFill="1" applyAlignment="1">
      <alignment horizontal="center"/>
    </xf>
    <xf numFmtId="164" fontId="29" fillId="4" borderId="0" xfId="0" applyNumberFormat="1" applyFont="1" applyFill="1" applyAlignment="1">
      <alignment horizontal="center"/>
    </xf>
    <xf numFmtId="168" fontId="51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18" fillId="0" borderId="1" xfId="0" applyFont="1" applyBorder="1"/>
    <xf numFmtId="164" fontId="1" fillId="21" borderId="1" xfId="0" applyNumberFormat="1" applyFont="1" applyFill="1" applyBorder="1" applyAlignment="1">
      <alignment vertical="center"/>
    </xf>
    <xf numFmtId="164" fontId="1" fillId="21" borderId="6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9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64" fontId="1" fillId="2" borderId="11" xfId="0" applyNumberFormat="1" applyFont="1" applyFill="1" applyBorder="1" applyAlignment="1">
      <alignment vertical="center"/>
    </xf>
    <xf numFmtId="164" fontId="48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 wrapText="1"/>
    </xf>
    <xf numFmtId="10" fontId="0" fillId="0" borderId="0" xfId="0" applyNumberFormat="1" applyAlignment="1">
      <alignment vertical="center"/>
    </xf>
    <xf numFmtId="164" fontId="43" fillId="0" borderId="11" xfId="0" applyNumberFormat="1" applyFont="1" applyBorder="1" applyAlignment="1">
      <alignment horizontal="center" vertical="center" wrapText="1"/>
    </xf>
    <xf numFmtId="164" fontId="43" fillId="2" borderId="11" xfId="0" applyNumberFormat="1" applyFont="1" applyFill="1" applyBorder="1" applyAlignment="1">
      <alignment horizontal="center" vertical="center" wrapText="1"/>
    </xf>
    <xf numFmtId="164" fontId="43" fillId="2" borderId="20" xfId="0" applyNumberFormat="1" applyFont="1" applyFill="1" applyBorder="1" applyAlignment="1">
      <alignment horizontal="center" vertical="center" wrapText="1"/>
    </xf>
    <xf numFmtId="164" fontId="43" fillId="0" borderId="20" xfId="0" applyNumberFormat="1" applyFont="1" applyBorder="1" applyAlignment="1">
      <alignment horizontal="center" vertical="center" wrapText="1"/>
    </xf>
    <xf numFmtId="164" fontId="43" fillId="0" borderId="29" xfId="0" applyNumberFormat="1" applyFont="1" applyBorder="1" applyAlignment="1">
      <alignment horizontal="center" vertical="center" wrapText="1"/>
    </xf>
    <xf numFmtId="164" fontId="43" fillId="0" borderId="13" xfId="0" applyNumberFormat="1" applyFont="1" applyBorder="1" applyAlignment="1">
      <alignment horizontal="center" vertical="center" wrapText="1"/>
    </xf>
    <xf numFmtId="164" fontId="56" fillId="0" borderId="1" xfId="0" applyNumberFormat="1" applyFont="1" applyBorder="1" applyAlignment="1">
      <alignment horizontal="center" vertical="center"/>
    </xf>
    <xf numFmtId="0" fontId="9" fillId="18" borderId="26" xfId="0" applyFont="1" applyFill="1" applyBorder="1" applyAlignment="1">
      <alignment horizontal="center" vertical="center" wrapText="1"/>
    </xf>
    <xf numFmtId="0" fontId="9" fillId="18" borderId="28" xfId="0" applyFont="1" applyFill="1" applyBorder="1" applyAlignment="1">
      <alignment horizontal="center" vertical="center" wrapText="1"/>
    </xf>
    <xf numFmtId="2" fontId="9" fillId="18" borderId="24" xfId="0" applyNumberFormat="1" applyFont="1" applyFill="1" applyBorder="1" applyAlignment="1">
      <alignment vertical="center" wrapText="1"/>
    </xf>
    <xf numFmtId="0" fontId="9" fillId="18" borderId="24" xfId="0" applyFont="1" applyFill="1" applyBorder="1" applyAlignment="1">
      <alignment vertical="center" wrapText="1"/>
    </xf>
    <xf numFmtId="0" fontId="9" fillId="18" borderId="44" xfId="0" applyFont="1" applyFill="1" applyBorder="1" applyAlignment="1">
      <alignment vertical="center" wrapText="1"/>
    </xf>
    <xf numFmtId="0" fontId="9" fillId="18" borderId="25" xfId="0" applyFont="1" applyFill="1" applyBorder="1" applyAlignment="1">
      <alignment horizontal="center" vertical="center" wrapText="1"/>
    </xf>
    <xf numFmtId="0" fontId="9" fillId="18" borderId="27" xfId="0" applyFont="1" applyFill="1" applyBorder="1" applyAlignment="1">
      <alignment horizontal="center" vertical="center" wrapText="1"/>
    </xf>
    <xf numFmtId="2" fontId="13" fillId="3" borderId="24" xfId="0" applyNumberFormat="1" applyFont="1" applyFill="1" applyBorder="1" applyAlignment="1">
      <alignment vertical="center" wrapText="1"/>
    </xf>
    <xf numFmtId="2" fontId="10" fillId="0" borderId="2" xfId="0" applyNumberFormat="1" applyFont="1" applyBorder="1" applyAlignment="1">
      <alignment horizontal="right" vertical="center"/>
    </xf>
    <xf numFmtId="0" fontId="0" fillId="8" borderId="1" xfId="0" applyFill="1" applyBorder="1" applyAlignment="1">
      <alignment horizontal="left" vertical="center" wrapText="1"/>
    </xf>
    <xf numFmtId="0" fontId="57" fillId="8" borderId="28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164" fontId="58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164" fontId="48" fillId="0" borderId="11" xfId="0" applyNumberFormat="1" applyFont="1" applyBorder="1" applyAlignment="1">
      <alignment horizontal="center" vertical="center" wrapText="1"/>
    </xf>
    <xf numFmtId="164" fontId="59" fillId="0" borderId="11" xfId="0" applyNumberFormat="1" applyFont="1" applyBorder="1" applyAlignment="1">
      <alignment horizontal="center" vertical="center" wrapText="1"/>
    </xf>
    <xf numFmtId="164" fontId="55" fillId="8" borderId="1" xfId="0" applyNumberFormat="1" applyFont="1" applyFill="1" applyBorder="1" applyAlignment="1">
      <alignment vertical="center"/>
    </xf>
    <xf numFmtId="164" fontId="60" fillId="8" borderId="6" xfId="0" applyNumberFormat="1" applyFont="1" applyFill="1" applyBorder="1" applyAlignment="1">
      <alignment horizontal="right"/>
    </xf>
    <xf numFmtId="164" fontId="1" fillId="15" borderId="0" xfId="0" applyNumberFormat="1" applyFont="1" applyFill="1" applyAlignment="1">
      <alignment vertical="center"/>
    </xf>
    <xf numFmtId="164" fontId="1" fillId="15" borderId="1" xfId="0" applyNumberFormat="1" applyFont="1" applyFill="1" applyBorder="1" applyAlignment="1">
      <alignment vertical="center"/>
    </xf>
    <xf numFmtId="164" fontId="56" fillId="0" borderId="11" xfId="0" applyNumberFormat="1" applyFont="1" applyBorder="1" applyAlignment="1">
      <alignment horizontal="center" vertical="center"/>
    </xf>
    <xf numFmtId="164" fontId="55" fillId="21" borderId="1" xfId="0" applyNumberFormat="1" applyFont="1" applyFill="1" applyBorder="1" applyAlignment="1">
      <alignment vertical="center"/>
    </xf>
    <xf numFmtId="2" fontId="9" fillId="23" borderId="24" xfId="0" applyNumberFormat="1" applyFont="1" applyFill="1" applyBorder="1" applyAlignment="1">
      <alignment vertical="center" wrapText="1"/>
    </xf>
    <xf numFmtId="0" fontId="9" fillId="23" borderId="24" xfId="0" applyFont="1" applyFill="1" applyBorder="1" applyAlignment="1">
      <alignment vertical="center" wrapText="1"/>
    </xf>
    <xf numFmtId="0" fontId="9" fillId="23" borderId="44" xfId="0" applyFont="1" applyFill="1" applyBorder="1" applyAlignment="1">
      <alignment vertical="center" wrapText="1"/>
    </xf>
    <xf numFmtId="2" fontId="12" fillId="10" borderId="24" xfId="0" applyNumberFormat="1" applyFont="1" applyFill="1" applyBorder="1" applyAlignment="1">
      <alignment vertical="center" wrapText="1"/>
    </xf>
    <xf numFmtId="0" fontId="11" fillId="10" borderId="24" xfId="0" applyFont="1" applyFill="1" applyBorder="1" applyAlignment="1">
      <alignment vertical="center"/>
    </xf>
    <xf numFmtId="3" fontId="11" fillId="10" borderId="24" xfId="0" applyNumberFormat="1" applyFont="1" applyFill="1" applyBorder="1" applyAlignment="1">
      <alignment vertical="center"/>
    </xf>
    <xf numFmtId="2" fontId="11" fillId="10" borderId="24" xfId="0" applyNumberFormat="1" applyFont="1" applyFill="1" applyBorder="1" applyAlignment="1">
      <alignment vertical="center" wrapText="1"/>
    </xf>
    <xf numFmtId="0" fontId="13" fillId="10" borderId="24" xfId="0" applyFont="1" applyFill="1" applyBorder="1" applyAlignment="1">
      <alignment vertical="center"/>
    </xf>
    <xf numFmtId="3" fontId="11" fillId="10" borderId="24" xfId="0" applyNumberFormat="1" applyFont="1" applyFill="1" applyBorder="1" applyAlignment="1">
      <alignment vertical="center" wrapText="1"/>
    </xf>
    <xf numFmtId="2" fontId="13" fillId="10" borderId="24" xfId="0" applyNumberFormat="1" applyFont="1" applyFill="1" applyBorder="1" applyAlignment="1">
      <alignment vertical="center" wrapText="1"/>
    </xf>
    <xf numFmtId="2" fontId="10" fillId="10" borderId="24" xfId="0" applyNumberFormat="1" applyFont="1" applyFill="1" applyBorder="1" applyAlignment="1">
      <alignment vertical="center" wrapText="1"/>
    </xf>
    <xf numFmtId="2" fontId="11" fillId="10" borderId="28" xfId="0" applyNumberFormat="1" applyFont="1" applyFill="1" applyBorder="1" applyAlignment="1">
      <alignment horizontal="right" vertical="center"/>
    </xf>
    <xf numFmtId="3" fontId="11" fillId="10" borderId="1" xfId="0" applyNumberFormat="1" applyFont="1" applyFill="1" applyBorder="1" applyAlignment="1">
      <alignment vertical="center"/>
    </xf>
    <xf numFmtId="2" fontId="10" fillId="10" borderId="28" xfId="0" applyNumberFormat="1" applyFont="1" applyFill="1" applyBorder="1" applyAlignment="1">
      <alignment horizontal="right" vertical="center"/>
    </xf>
    <xf numFmtId="3" fontId="10" fillId="10" borderId="24" xfId="0" applyNumberFormat="1" applyFont="1" applyFill="1" applyBorder="1" applyAlignment="1">
      <alignment vertical="center"/>
    </xf>
    <xf numFmtId="0" fontId="10" fillId="10" borderId="24" xfId="0" applyFont="1" applyFill="1" applyBorder="1" applyAlignment="1">
      <alignment vertical="center"/>
    </xf>
    <xf numFmtId="3" fontId="10" fillId="10" borderId="1" xfId="0" applyNumberFormat="1" applyFont="1" applyFill="1" applyBorder="1" applyAlignment="1">
      <alignment vertical="center"/>
    </xf>
    <xf numFmtId="0" fontId="61" fillId="0" borderId="0" xfId="0" applyFont="1"/>
    <xf numFmtId="164" fontId="32" fillId="11" borderId="0" xfId="0" applyNumberFormat="1" applyFont="1" applyFill="1" applyAlignment="1">
      <alignment horizontal="right"/>
    </xf>
    <xf numFmtId="164" fontId="32" fillId="0" borderId="0" xfId="0" applyNumberFormat="1" applyFont="1"/>
    <xf numFmtId="164" fontId="21" fillId="4" borderId="0" xfId="0" applyNumberFormat="1" applyFont="1" applyFill="1"/>
    <xf numFmtId="164" fontId="1" fillId="0" borderId="1" xfId="0" applyNumberFormat="1" applyFont="1" applyBorder="1" applyAlignment="1">
      <alignment horizontal="center" vertical="center" wrapText="1"/>
    </xf>
    <xf numFmtId="0" fontId="16" fillId="15" borderId="9" xfId="0" applyFont="1" applyFill="1" applyBorder="1"/>
    <xf numFmtId="3" fontId="16" fillId="15" borderId="47" xfId="0" applyNumberFormat="1" applyFont="1" applyFill="1" applyBorder="1"/>
    <xf numFmtId="0" fontId="16" fillId="15" borderId="47" xfId="0" applyFont="1" applyFill="1" applyBorder="1"/>
    <xf numFmtId="3" fontId="16" fillId="15" borderId="54" xfId="0" applyNumberFormat="1" applyFont="1" applyFill="1" applyBorder="1"/>
    <xf numFmtId="3" fontId="16" fillId="24" borderId="9" xfId="0" applyNumberFormat="1" applyFont="1" applyFill="1" applyBorder="1"/>
    <xf numFmtId="3" fontId="16" fillId="15" borderId="9" xfId="0" applyNumberFormat="1" applyFont="1" applyFill="1" applyBorder="1"/>
    <xf numFmtId="3" fontId="16" fillId="15" borderId="53" xfId="0" applyNumberFormat="1" applyFont="1" applyFill="1" applyBorder="1"/>
    <xf numFmtId="0" fontId="16" fillId="15" borderId="54" xfId="0" applyFont="1" applyFill="1" applyBorder="1"/>
    <xf numFmtId="169" fontId="16" fillId="15" borderId="9" xfId="0" applyNumberFormat="1" applyFont="1" applyFill="1" applyBorder="1"/>
    <xf numFmtId="1" fontId="16" fillId="24" borderId="9" xfId="0" applyNumberFormat="1" applyFont="1" applyFill="1" applyBorder="1"/>
    <xf numFmtId="1" fontId="16" fillId="15" borderId="54" xfId="0" applyNumberFormat="1" applyFont="1" applyFill="1" applyBorder="1"/>
    <xf numFmtId="1" fontId="16" fillId="15" borderId="47" xfId="0" applyNumberFormat="1" applyFont="1" applyFill="1" applyBorder="1"/>
    <xf numFmtId="0" fontId="16" fillId="15" borderId="53" xfId="0" applyFont="1" applyFill="1" applyBorder="1"/>
    <xf numFmtId="0" fontId="18" fillId="24" borderId="9" xfId="0" applyFont="1" applyFill="1" applyBorder="1"/>
    <xf numFmtId="0" fontId="18" fillId="15" borderId="9" xfId="0" applyFont="1" applyFill="1" applyBorder="1"/>
    <xf numFmtId="3" fontId="18" fillId="15" borderId="47" xfId="0" applyNumberFormat="1" applyFont="1" applyFill="1" applyBorder="1"/>
    <xf numFmtId="3" fontId="18" fillId="15" borderId="53" xfId="0" applyNumberFormat="1" applyFont="1" applyFill="1" applyBorder="1"/>
    <xf numFmtId="3" fontId="18" fillId="15" borderId="54" xfId="0" applyNumberFormat="1" applyFont="1" applyFill="1" applyBorder="1"/>
    <xf numFmtId="164" fontId="48" fillId="0" borderId="0" xfId="0" applyNumberFormat="1" applyFont="1" applyAlignment="1">
      <alignment horizontal="center" vertical="center"/>
    </xf>
    <xf numFmtId="164" fontId="43" fillId="2" borderId="6" xfId="0" applyNumberFormat="1" applyFont="1" applyFill="1" applyBorder="1" applyAlignment="1">
      <alignment vertical="center"/>
    </xf>
    <xf numFmtId="164" fontId="15" fillId="2" borderId="6" xfId="0" applyNumberFormat="1" applyFont="1" applyFill="1" applyBorder="1" applyAlignment="1">
      <alignment horizontal="center" vertical="center" wrapText="1"/>
    </xf>
    <xf numFmtId="164" fontId="44" fillId="0" borderId="1" xfId="0" applyNumberFormat="1" applyFont="1" applyBorder="1" applyAlignment="1">
      <alignment vertical="center"/>
    </xf>
    <xf numFmtId="164" fontId="1" fillId="25" borderId="1" xfId="0" applyNumberFormat="1" applyFont="1" applyFill="1" applyBorder="1" applyAlignment="1">
      <alignment vertical="center"/>
    </xf>
    <xf numFmtId="164" fontId="43" fillId="0" borderId="6" xfId="0" applyNumberFormat="1" applyFont="1" applyBorder="1" applyAlignment="1">
      <alignment vertical="center"/>
    </xf>
    <xf numFmtId="0" fontId="19" fillId="4" borderId="0" xfId="0" applyFont="1" applyFill="1" applyAlignment="1">
      <alignment horizontal="left"/>
    </xf>
    <xf numFmtId="0" fontId="22" fillId="0" borderId="25" xfId="0" applyFont="1" applyBorder="1"/>
    <xf numFmtId="0" fontId="22" fillId="26" borderId="58" xfId="0" applyFont="1" applyFill="1" applyBorder="1"/>
    <xf numFmtId="0" fontId="22" fillId="27" borderId="59" xfId="0" applyFont="1" applyFill="1" applyBorder="1"/>
    <xf numFmtId="0" fontId="19" fillId="10" borderId="60" xfId="0" applyFont="1" applyFill="1" applyBorder="1"/>
    <xf numFmtId="0" fontId="22" fillId="12" borderId="61" xfId="0" applyFont="1" applyFill="1" applyBorder="1"/>
    <xf numFmtId="167" fontId="0" fillId="4" borderId="0" xfId="0" applyNumberFormat="1" applyFill="1"/>
    <xf numFmtId="167" fontId="25" fillId="19" borderId="23" xfId="0" applyNumberFormat="1" applyFont="1" applyFill="1" applyBorder="1"/>
    <xf numFmtId="164" fontId="34" fillId="0" borderId="0" xfId="0" applyNumberFormat="1" applyFont="1"/>
    <xf numFmtId="0" fontId="32" fillId="0" borderId="36" xfId="0" applyFont="1" applyBorder="1"/>
    <xf numFmtId="0" fontId="65" fillId="4" borderId="0" xfId="0" applyFont="1" applyFill="1"/>
    <xf numFmtId="164" fontId="48" fillId="22" borderId="0" xfId="0" applyNumberFormat="1" applyFont="1" applyFill="1" applyAlignment="1">
      <alignment vertical="center"/>
    </xf>
    <xf numFmtId="164" fontId="43" fillId="2" borderId="29" xfId="0" applyNumberFormat="1" applyFont="1" applyFill="1" applyBorder="1" applyAlignment="1">
      <alignment horizontal="center" vertical="center" wrapText="1"/>
    </xf>
    <xf numFmtId="164" fontId="1" fillId="21" borderId="9" xfId="0" applyNumberFormat="1" applyFont="1" applyFill="1" applyBorder="1" applyAlignment="1">
      <alignment vertical="center"/>
    </xf>
    <xf numFmtId="164" fontId="15" fillId="2" borderId="9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vertical="center"/>
    </xf>
    <xf numFmtId="164" fontId="43" fillId="0" borderId="45" xfId="0" applyNumberFormat="1" applyFont="1" applyBorder="1" applyAlignment="1">
      <alignment vertical="center"/>
    </xf>
    <xf numFmtId="164" fontId="15" fillId="0" borderId="14" xfId="0" applyNumberFormat="1" applyFont="1" applyBorder="1" applyAlignment="1">
      <alignment vertical="center"/>
    </xf>
    <xf numFmtId="10" fontId="46" fillId="0" borderId="1" xfId="0" applyNumberFormat="1" applyFont="1" applyBorder="1" applyAlignment="1">
      <alignment vertical="center"/>
    </xf>
    <xf numFmtId="10" fontId="47" fillId="0" borderId="1" xfId="0" applyNumberFormat="1" applyFont="1" applyBorder="1" applyAlignment="1">
      <alignment vertical="center"/>
    </xf>
    <xf numFmtId="164" fontId="43" fillId="2" borderId="11" xfId="0" applyNumberFormat="1" applyFont="1" applyFill="1" applyBorder="1" applyAlignment="1">
      <alignment vertical="center"/>
    </xf>
    <xf numFmtId="164" fontId="15" fillId="0" borderId="9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vertical="center"/>
    </xf>
    <xf numFmtId="164" fontId="15" fillId="0" borderId="29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vertical="center"/>
    </xf>
    <xf numFmtId="164" fontId="5" fillId="0" borderId="19" xfId="0" applyNumberFormat="1" applyFont="1" applyBorder="1" applyAlignment="1">
      <alignment vertical="center"/>
    </xf>
    <xf numFmtId="164" fontId="1" fillId="25" borderId="9" xfId="0" applyNumberFormat="1" applyFont="1" applyFill="1" applyBorder="1" applyAlignment="1">
      <alignment vertical="center"/>
    </xf>
    <xf numFmtId="164" fontId="43" fillId="25" borderId="10" xfId="0" applyNumberFormat="1" applyFont="1" applyFill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2" borderId="10" xfId="0" applyNumberFormat="1" applyFont="1" applyFill="1" applyBorder="1" applyAlignment="1">
      <alignment vertical="center"/>
    </xf>
    <xf numFmtId="164" fontId="59" fillId="0" borderId="9" xfId="0" applyNumberFormat="1" applyFont="1" applyBorder="1" applyAlignment="1">
      <alignment vertical="center"/>
    </xf>
    <xf numFmtId="164" fontId="5" fillId="2" borderId="14" xfId="0" applyNumberFormat="1" applyFont="1" applyFill="1" applyBorder="1" applyAlignment="1">
      <alignment vertical="center"/>
    </xf>
    <xf numFmtId="164" fontId="1" fillId="15" borderId="9" xfId="0" applyNumberFormat="1" applyFont="1" applyFill="1" applyBorder="1" applyAlignment="1">
      <alignment vertical="center"/>
    </xf>
    <xf numFmtId="164" fontId="1" fillId="8" borderId="1" xfId="0" applyNumberFormat="1" applyFont="1" applyFill="1" applyBorder="1" applyAlignment="1">
      <alignment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164" fontId="15" fillId="0" borderId="1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167" fontId="19" fillId="28" borderId="33" xfId="0" applyNumberFormat="1" applyFont="1" applyFill="1" applyBorder="1"/>
    <xf numFmtId="164" fontId="0" fillId="4" borderId="43" xfId="0" applyNumberFormat="1" applyFill="1" applyBorder="1" applyAlignment="1">
      <alignment horizontal="center"/>
    </xf>
    <xf numFmtId="164" fontId="19" fillId="4" borderId="0" xfId="2" applyNumberFormat="1" applyFont="1" applyFill="1" applyAlignment="1">
      <alignment horizontal="right"/>
    </xf>
    <xf numFmtId="164" fontId="19" fillId="4" borderId="0" xfId="2" applyNumberFormat="1" applyFont="1" applyFill="1"/>
    <xf numFmtId="164" fontId="25" fillId="13" borderId="35" xfId="0" applyNumberFormat="1" applyFont="1" applyFill="1" applyBorder="1" applyAlignment="1">
      <alignment horizontal="center"/>
    </xf>
    <xf numFmtId="164" fontId="0" fillId="29" borderId="35" xfId="0" applyNumberFormat="1" applyFill="1" applyBorder="1" applyAlignment="1">
      <alignment horizontal="center"/>
    </xf>
    <xf numFmtId="164" fontId="0" fillId="29" borderId="42" xfId="0" applyNumberFormat="1" applyFill="1" applyBorder="1" applyAlignment="1">
      <alignment horizontal="center"/>
    </xf>
    <xf numFmtId="164" fontId="19" fillId="0" borderId="0" xfId="0" applyNumberFormat="1" applyFont="1" applyAlignment="1">
      <alignment horizontal="right" wrapText="1"/>
    </xf>
    <xf numFmtId="164" fontId="1" fillId="15" borderId="0" xfId="0" applyNumberFormat="1" applyFont="1" applyFill="1" applyAlignment="1">
      <alignment vertical="center" wrapText="1"/>
    </xf>
    <xf numFmtId="0" fontId="0" fillId="0" borderId="63" xfId="0" applyBorder="1"/>
    <xf numFmtId="0" fontId="0" fillId="0" borderId="36" xfId="0" applyBorder="1"/>
    <xf numFmtId="0" fontId="16" fillId="17" borderId="47" xfId="0" applyFont="1" applyFill="1" applyBorder="1" applyAlignment="1">
      <alignment horizontal="center" vertical="center" wrapText="1"/>
    </xf>
    <xf numFmtId="0" fontId="16" fillId="24" borderId="47" xfId="0" applyFont="1" applyFill="1" applyBorder="1" applyAlignment="1">
      <alignment horizontal="center" vertical="center" wrapText="1"/>
    </xf>
    <xf numFmtId="0" fontId="16" fillId="15" borderId="68" xfId="0" applyFont="1" applyFill="1" applyBorder="1" applyAlignment="1">
      <alignment vertical="center" wrapText="1"/>
    </xf>
    <xf numFmtId="0" fontId="16" fillId="17" borderId="9" xfId="0" applyFont="1" applyFill="1" applyBorder="1" applyAlignment="1">
      <alignment horizontal="center" vertical="center" wrapText="1"/>
    </xf>
    <xf numFmtId="0" fontId="16" fillId="24" borderId="1" xfId="0" applyFont="1" applyFill="1" applyBorder="1" applyAlignment="1">
      <alignment horizontal="center" vertical="center" wrapText="1"/>
    </xf>
    <xf numFmtId="0" fontId="16" fillId="15" borderId="75" xfId="0" applyFont="1" applyFill="1" applyBorder="1" applyAlignment="1">
      <alignment vertical="center" wrapText="1"/>
    </xf>
    <xf numFmtId="1" fontId="16" fillId="17" borderId="1" xfId="0" applyNumberFormat="1" applyFont="1" applyFill="1" applyBorder="1"/>
    <xf numFmtId="3" fontId="16" fillId="17" borderId="1" xfId="0" applyNumberFormat="1" applyFont="1" applyFill="1" applyBorder="1"/>
    <xf numFmtId="3" fontId="16" fillId="17" borderId="9" xfId="0" applyNumberFormat="1" applyFont="1" applyFill="1" applyBorder="1"/>
    <xf numFmtId="3" fontId="16" fillId="17" borderId="47" xfId="0" applyNumberFormat="1" applyFont="1" applyFill="1" applyBorder="1"/>
    <xf numFmtId="3" fontId="16" fillId="18" borderId="80" xfId="0" applyNumberFormat="1" applyFont="1" applyFill="1" applyBorder="1"/>
    <xf numFmtId="169" fontId="16" fillId="24" borderId="9" xfId="0" applyNumberFormat="1" applyFont="1" applyFill="1" applyBorder="1"/>
    <xf numFmtId="3" fontId="16" fillId="24" borderId="1" xfId="0" applyNumberFormat="1" applyFont="1" applyFill="1" applyBorder="1"/>
    <xf numFmtId="3" fontId="16" fillId="24" borderId="47" xfId="0" applyNumberFormat="1" applyFont="1" applyFill="1" applyBorder="1"/>
    <xf numFmtId="3" fontId="16" fillId="32" borderId="4" xfId="0" applyNumberFormat="1" applyFont="1" applyFill="1" applyBorder="1"/>
    <xf numFmtId="3" fontId="16" fillId="7" borderId="54" xfId="0" applyNumberFormat="1" applyFont="1" applyFill="1" applyBorder="1"/>
    <xf numFmtId="3" fontId="16" fillId="7" borderId="47" xfId="0" applyNumberFormat="1" applyFont="1" applyFill="1" applyBorder="1"/>
    <xf numFmtId="3" fontId="16" fillId="33" borderId="4" xfId="0" applyNumberFormat="1" applyFont="1" applyFill="1" applyBorder="1"/>
    <xf numFmtId="4" fontId="16" fillId="30" borderId="54" xfId="0" applyNumberFormat="1" applyFont="1" applyFill="1" applyBorder="1"/>
    <xf numFmtId="3" fontId="16" fillId="30" borderId="81" xfId="0" applyNumberFormat="1" applyFont="1" applyFill="1" applyBorder="1"/>
    <xf numFmtId="3" fontId="16" fillId="31" borderId="82" xfId="0" applyNumberFormat="1" applyFont="1" applyFill="1" applyBorder="1"/>
    <xf numFmtId="3" fontId="16" fillId="31" borderId="55" xfId="0" applyNumberFormat="1" applyFont="1" applyFill="1" applyBorder="1"/>
    <xf numFmtId="3" fontId="16" fillId="15" borderId="4" xfId="0" applyNumberFormat="1" applyFont="1" applyFill="1" applyBorder="1"/>
    <xf numFmtId="0" fontId="16" fillId="7" borderId="54" xfId="0" applyFont="1" applyFill="1" applyBorder="1"/>
    <xf numFmtId="0" fontId="16" fillId="7" borderId="47" xfId="0" applyFont="1" applyFill="1" applyBorder="1"/>
    <xf numFmtId="3" fontId="16" fillId="30" borderId="54" xfId="0" applyNumberFormat="1" applyFont="1" applyFill="1" applyBorder="1"/>
    <xf numFmtId="1" fontId="16" fillId="7" borderId="54" xfId="0" applyNumberFormat="1" applyFont="1" applyFill="1" applyBorder="1"/>
    <xf numFmtId="1" fontId="16" fillId="7" borderId="47" xfId="0" applyNumberFormat="1" applyFont="1" applyFill="1" applyBorder="1"/>
    <xf numFmtId="1" fontId="16" fillId="33" borderId="4" xfId="0" applyNumberFormat="1" applyFont="1" applyFill="1" applyBorder="1"/>
    <xf numFmtId="1" fontId="16" fillId="30" borderId="54" xfId="0" applyNumberFormat="1" applyFont="1" applyFill="1" applyBorder="1"/>
    <xf numFmtId="1" fontId="18" fillId="17" borderId="1" xfId="0" applyNumberFormat="1" applyFont="1" applyFill="1" applyBorder="1"/>
    <xf numFmtId="3" fontId="18" fillId="17" borderId="1" xfId="0" applyNumberFormat="1" applyFont="1" applyFill="1" applyBorder="1"/>
    <xf numFmtId="0" fontId="18" fillId="17" borderId="9" xfId="0" applyFont="1" applyFill="1" applyBorder="1"/>
    <xf numFmtId="3" fontId="18" fillId="17" borderId="47" xfId="0" applyNumberFormat="1" applyFont="1" applyFill="1" applyBorder="1"/>
    <xf numFmtId="3" fontId="18" fillId="18" borderId="80" xfId="0" applyNumberFormat="1" applyFont="1" applyFill="1" applyBorder="1"/>
    <xf numFmtId="3" fontId="18" fillId="24" borderId="1" xfId="0" applyNumberFormat="1" applyFont="1" applyFill="1" applyBorder="1"/>
    <xf numFmtId="3" fontId="18" fillId="32" borderId="4" xfId="0" applyNumberFormat="1" applyFont="1" applyFill="1" applyBorder="1"/>
    <xf numFmtId="3" fontId="18" fillId="7" borderId="54" xfId="0" applyNumberFormat="1" applyFont="1" applyFill="1" applyBorder="1"/>
    <xf numFmtId="3" fontId="18" fillId="7" borderId="47" xfId="0" applyNumberFormat="1" applyFont="1" applyFill="1" applyBorder="1"/>
    <xf numFmtId="3" fontId="18" fillId="33" borderId="4" xfId="0" applyNumberFormat="1" applyFont="1" applyFill="1" applyBorder="1"/>
    <xf numFmtId="169" fontId="18" fillId="30" borderId="54" xfId="0" applyNumberFormat="1" applyFont="1" applyFill="1" applyBorder="1"/>
    <xf numFmtId="3" fontId="18" fillId="30" borderId="81" xfId="0" applyNumberFormat="1" applyFont="1" applyFill="1" applyBorder="1"/>
    <xf numFmtId="3" fontId="18" fillId="31" borderId="83" xfId="0" applyNumberFormat="1" applyFont="1" applyFill="1" applyBorder="1"/>
    <xf numFmtId="3" fontId="18" fillId="31" borderId="56" xfId="0" applyNumberFormat="1" applyFont="1" applyFill="1" applyBorder="1"/>
    <xf numFmtId="1" fontId="18" fillId="15" borderId="9" xfId="0" applyNumberFormat="1" applyFont="1" applyFill="1" applyBorder="1"/>
    <xf numFmtId="3" fontId="18" fillId="15" borderId="4" xfId="0" applyNumberFormat="1" applyFont="1" applyFill="1" applyBorder="1"/>
    <xf numFmtId="0" fontId="0" fillId="17" borderId="0" xfId="0" applyFill="1"/>
    <xf numFmtId="0" fontId="0" fillId="24" borderId="0" xfId="0" applyFill="1"/>
    <xf numFmtId="0" fontId="0" fillId="7" borderId="0" xfId="0" applyFill="1"/>
    <xf numFmtId="0" fontId="69" fillId="0" borderId="0" xfId="0" applyFont="1"/>
    <xf numFmtId="0" fontId="69" fillId="17" borderId="0" xfId="0" applyFont="1" applyFill="1" applyAlignment="1">
      <alignment horizontal="right"/>
    </xf>
    <xf numFmtId="1" fontId="69" fillId="17" borderId="0" xfId="0" applyNumberFormat="1" applyFont="1" applyFill="1" applyAlignment="1">
      <alignment horizontal="left"/>
    </xf>
    <xf numFmtId="3" fontId="69" fillId="17" borderId="0" xfId="0" applyNumberFormat="1" applyFont="1" applyFill="1" applyAlignment="1">
      <alignment horizontal="left"/>
    </xf>
    <xf numFmtId="0" fontId="69" fillId="24" borderId="0" xfId="0" applyFont="1" applyFill="1" applyAlignment="1">
      <alignment horizontal="right"/>
    </xf>
    <xf numFmtId="3" fontId="69" fillId="24" borderId="0" xfId="0" applyNumberFormat="1" applyFont="1" applyFill="1" applyAlignment="1">
      <alignment horizontal="left"/>
    </xf>
    <xf numFmtId="0" fontId="69" fillId="7" borderId="0" xfId="0" applyFont="1" applyFill="1" applyAlignment="1">
      <alignment horizontal="right"/>
    </xf>
    <xf numFmtId="3" fontId="69" fillId="7" borderId="0" xfId="0" applyNumberFormat="1" applyFont="1" applyFill="1" applyAlignment="1">
      <alignment horizontal="left"/>
    </xf>
    <xf numFmtId="3" fontId="69" fillId="7" borderId="0" xfId="0" applyNumberFormat="1" applyFont="1" applyFill="1"/>
    <xf numFmtId="164" fontId="43" fillId="0" borderId="6" xfId="0" applyNumberFormat="1" applyFont="1" applyBorder="1" applyAlignment="1">
      <alignment horizontal="center" vertical="center" wrapText="1"/>
    </xf>
    <xf numFmtId="164" fontId="43" fillId="0" borderId="9" xfId="0" applyNumberFormat="1" applyFont="1" applyBorder="1" applyAlignment="1">
      <alignment horizontal="center" vertical="center" wrapText="1"/>
    </xf>
    <xf numFmtId="164" fontId="43" fillId="0" borderId="17" xfId="0" applyNumberFormat="1" applyFont="1" applyBorder="1" applyAlignment="1">
      <alignment horizontal="center" vertical="center" wrapText="1"/>
    </xf>
    <xf numFmtId="164" fontId="43" fillId="0" borderId="19" xfId="0" applyNumberFormat="1" applyFont="1" applyBorder="1" applyAlignment="1">
      <alignment horizontal="center" vertical="center" wrapText="1"/>
    </xf>
    <xf numFmtId="164" fontId="43" fillId="0" borderId="21" xfId="0" applyNumberFormat="1" applyFont="1" applyBorder="1" applyAlignment="1">
      <alignment horizontal="center" vertical="center" wrapText="1"/>
    </xf>
    <xf numFmtId="164" fontId="43" fillId="0" borderId="4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43" fillId="0" borderId="4" xfId="0" applyNumberFormat="1" applyFont="1" applyBorder="1" applyAlignment="1">
      <alignment horizontal="center" vertical="center" wrapText="1"/>
    </xf>
    <xf numFmtId="164" fontId="43" fillId="0" borderId="1" xfId="0" applyNumberFormat="1" applyFont="1" applyBorder="1" applyAlignment="1">
      <alignment horizontal="center" vertical="center" wrapText="1"/>
    </xf>
    <xf numFmtId="164" fontId="43" fillId="0" borderId="39" xfId="0" applyNumberFormat="1" applyFont="1" applyBorder="1" applyAlignment="1">
      <alignment horizontal="center" vertical="center" wrapText="1"/>
    </xf>
    <xf numFmtId="164" fontId="48" fillId="0" borderId="0" xfId="0" applyNumberFormat="1" applyFont="1" applyAlignment="1">
      <alignment horizontal="center" vertical="center"/>
    </xf>
    <xf numFmtId="164" fontId="43" fillId="0" borderId="6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/>
    </xf>
    <xf numFmtId="164" fontId="25" fillId="18" borderId="24" xfId="0" applyNumberFormat="1" applyFont="1" applyFill="1" applyBorder="1" applyAlignment="1">
      <alignment horizontal="center"/>
    </xf>
    <xf numFmtId="0" fontId="25" fillId="18" borderId="27" xfId="0" applyFont="1" applyFill="1" applyBorder="1" applyAlignment="1">
      <alignment horizontal="center"/>
    </xf>
    <xf numFmtId="0" fontId="19" fillId="9" borderId="24" xfId="0" applyFont="1" applyFill="1" applyBorder="1" applyAlignment="1">
      <alignment horizontal="center"/>
    </xf>
    <xf numFmtId="0" fontId="19" fillId="9" borderId="30" xfId="0" applyFont="1" applyFill="1" applyBorder="1" applyAlignment="1">
      <alignment horizontal="center"/>
    </xf>
    <xf numFmtId="0" fontId="19" fillId="26" borderId="24" xfId="0" applyFont="1" applyFill="1" applyBorder="1" applyAlignment="1">
      <alignment horizontal="center"/>
    </xf>
    <xf numFmtId="0" fontId="19" fillId="26" borderId="27" xfId="0" applyFont="1" applyFill="1" applyBorder="1" applyAlignment="1">
      <alignment horizontal="center"/>
    </xf>
    <xf numFmtId="0" fontId="19" fillId="10" borderId="57" xfId="0" applyFont="1" applyFill="1" applyBorder="1" applyAlignment="1">
      <alignment horizontal="center"/>
    </xf>
    <xf numFmtId="0" fontId="20" fillId="10" borderId="57" xfId="0" applyFont="1" applyFill="1" applyBorder="1"/>
    <xf numFmtId="0" fontId="19" fillId="11" borderId="44" xfId="0" applyFont="1" applyFill="1" applyBorder="1" applyAlignment="1">
      <alignment horizontal="center" wrapText="1"/>
    </xf>
    <xf numFmtId="0" fontId="20" fillId="11" borderId="46" xfId="0" applyFont="1" applyFill="1" applyBorder="1"/>
    <xf numFmtId="164" fontId="31" fillId="15" borderId="41" xfId="0" applyNumberFormat="1" applyFont="1" applyFill="1" applyBorder="1" applyAlignment="1">
      <alignment horizontal="center"/>
    </xf>
    <xf numFmtId="164" fontId="31" fillId="15" borderId="27" xfId="0" applyNumberFormat="1" applyFont="1" applyFill="1" applyBorder="1" applyAlignment="1">
      <alignment horizontal="center"/>
    </xf>
    <xf numFmtId="164" fontId="25" fillId="0" borderId="24" xfId="0" applyNumberFormat="1" applyFont="1" applyBorder="1" applyAlignment="1">
      <alignment horizontal="center"/>
    </xf>
    <xf numFmtId="164" fontId="25" fillId="0" borderId="27" xfId="0" applyNumberFormat="1" applyFont="1" applyBorder="1" applyAlignment="1">
      <alignment horizontal="center"/>
    </xf>
    <xf numFmtId="164" fontId="33" fillId="0" borderId="24" xfId="0" applyNumberFormat="1" applyFont="1" applyBorder="1" applyAlignment="1">
      <alignment horizontal="center"/>
    </xf>
    <xf numFmtId="164" fontId="33" fillId="0" borderId="27" xfId="0" applyNumberFormat="1" applyFont="1" applyBorder="1" applyAlignment="1">
      <alignment horizontal="center"/>
    </xf>
    <xf numFmtId="167" fontId="34" fillId="0" borderId="24" xfId="0" applyNumberFormat="1" applyFont="1" applyBorder="1" applyAlignment="1">
      <alignment horizontal="center"/>
    </xf>
    <xf numFmtId="167" fontId="34" fillId="0" borderId="27" xfId="0" applyNumberFormat="1" applyFont="1" applyBorder="1" applyAlignment="1">
      <alignment horizontal="center"/>
    </xf>
    <xf numFmtId="3" fontId="35" fillId="4" borderId="24" xfId="0" applyNumberFormat="1" applyFont="1" applyFill="1" applyBorder="1" applyAlignment="1">
      <alignment horizontal="center"/>
    </xf>
    <xf numFmtId="3" fontId="35" fillId="4" borderId="27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64" fillId="4" borderId="0" xfId="0" applyFont="1" applyFill="1" applyAlignment="1">
      <alignment horizontal="center" vertical="center" wrapText="1"/>
    </xf>
    <xf numFmtId="0" fontId="19" fillId="4" borderId="0" xfId="0" applyFont="1" applyFill="1" applyAlignment="1">
      <alignment horizontal="left" vertical="center"/>
    </xf>
    <xf numFmtId="0" fontId="25" fillId="4" borderId="0" xfId="0" applyFont="1" applyFill="1" applyAlignment="1">
      <alignment horizontal="center" vertical="center" wrapText="1"/>
    </xf>
    <xf numFmtId="0" fontId="19" fillId="4" borderId="0" xfId="0" applyFont="1" applyFill="1" applyAlignment="1">
      <alignment horizontal="right" vertical="center" wrapText="1"/>
    </xf>
    <xf numFmtId="0" fontId="0" fillId="0" borderId="0" xfId="0" applyAlignment="1">
      <alignment wrapText="1"/>
    </xf>
    <xf numFmtId="0" fontId="18" fillId="31" borderId="36" xfId="0" applyFont="1" applyFill="1" applyBorder="1" applyAlignment="1">
      <alignment horizontal="center" vertical="center" wrapText="1"/>
    </xf>
    <xf numFmtId="0" fontId="18" fillId="31" borderId="50" xfId="0" applyFont="1" applyFill="1" applyBorder="1" applyAlignment="1">
      <alignment horizontal="center" vertical="center" wrapText="1"/>
    </xf>
    <xf numFmtId="0" fontId="18" fillId="15" borderId="64" xfId="0" applyFont="1" applyFill="1" applyBorder="1" applyAlignment="1">
      <alignment horizontal="center" vertical="center" wrapText="1"/>
    </xf>
    <xf numFmtId="0" fontId="18" fillId="15" borderId="4" xfId="0" applyFont="1" applyFill="1" applyBorder="1" applyAlignment="1">
      <alignment horizontal="center" vertical="center" wrapText="1"/>
    </xf>
    <xf numFmtId="0" fontId="18" fillId="15" borderId="47" xfId="0" applyFont="1" applyFill="1" applyBorder="1" applyAlignment="1">
      <alignment horizontal="center" vertical="center" wrapText="1"/>
    </xf>
    <xf numFmtId="0" fontId="16" fillId="15" borderId="72" xfId="0" applyFont="1" applyFill="1" applyBorder="1" applyAlignment="1">
      <alignment horizontal="center" vertical="center" wrapText="1"/>
    </xf>
    <xf numFmtId="0" fontId="16" fillId="15" borderId="79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17" borderId="6" xfId="0" applyFont="1" applyFill="1" applyBorder="1" applyAlignment="1">
      <alignment horizontal="center" vertical="center" wrapText="1"/>
    </xf>
    <xf numFmtId="0" fontId="18" fillId="17" borderId="4" xfId="0" applyFont="1" applyFill="1" applyBorder="1" applyAlignment="1">
      <alignment horizontal="center" vertical="center" wrapText="1"/>
    </xf>
    <xf numFmtId="0" fontId="18" fillId="17" borderId="47" xfId="0" applyFont="1" applyFill="1" applyBorder="1" applyAlignment="1">
      <alignment horizontal="center" vertical="center" wrapText="1"/>
    </xf>
    <xf numFmtId="0" fontId="18" fillId="24" borderId="48" xfId="0" applyFont="1" applyFill="1" applyBorder="1" applyAlignment="1">
      <alignment horizontal="center" vertical="center" wrapText="1"/>
    </xf>
    <xf numFmtId="0" fontId="18" fillId="24" borderId="4" xfId="0" applyFont="1" applyFill="1" applyBorder="1" applyAlignment="1">
      <alignment horizontal="center" vertical="center" wrapText="1"/>
    </xf>
    <xf numFmtId="0" fontId="18" fillId="24" borderId="47" xfId="0" applyFont="1" applyFill="1" applyBorder="1" applyAlignment="1">
      <alignment horizontal="center" vertical="center" wrapText="1"/>
    </xf>
    <xf numFmtId="0" fontId="18" fillId="7" borderId="48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7" borderId="47" xfId="0" applyFont="1" applyFill="1" applyBorder="1" applyAlignment="1">
      <alignment horizontal="center" vertical="center" wrapText="1"/>
    </xf>
    <xf numFmtId="0" fontId="18" fillId="30" borderId="48" xfId="0" applyFont="1" applyFill="1" applyBorder="1" applyAlignment="1">
      <alignment horizontal="center" vertical="center" wrapText="1"/>
    </xf>
    <xf numFmtId="0" fontId="18" fillId="30" borderId="49" xfId="0" applyFont="1" applyFill="1" applyBorder="1" applyAlignment="1">
      <alignment horizontal="center" vertical="center" wrapText="1"/>
    </xf>
    <xf numFmtId="0" fontId="18" fillId="15" borderId="52" xfId="0" applyFont="1" applyFill="1" applyBorder="1" applyAlignment="1">
      <alignment horizontal="center" vertical="center" wrapText="1"/>
    </xf>
    <xf numFmtId="0" fontId="18" fillId="15" borderId="51" xfId="0" applyFont="1" applyFill="1" applyBorder="1" applyAlignment="1">
      <alignment horizontal="center" vertical="center" wrapText="1"/>
    </xf>
    <xf numFmtId="0" fontId="16" fillId="17" borderId="14" xfId="0" applyFont="1" applyFill="1" applyBorder="1" applyAlignment="1">
      <alignment horizontal="center" vertical="center" wrapText="1"/>
    </xf>
    <xf numFmtId="0" fontId="16" fillId="17" borderId="11" xfId="0" applyFont="1" applyFill="1" applyBorder="1" applyAlignment="1">
      <alignment horizontal="center" vertical="center" wrapText="1"/>
    </xf>
    <xf numFmtId="0" fontId="16" fillId="17" borderId="4" xfId="0" applyFont="1" applyFill="1" applyBorder="1" applyAlignment="1">
      <alignment horizontal="center" vertical="center" wrapText="1"/>
    </xf>
    <xf numFmtId="0" fontId="16" fillId="17" borderId="47" xfId="0" applyFont="1" applyFill="1" applyBorder="1" applyAlignment="1">
      <alignment horizontal="center" vertical="center" wrapText="1"/>
    </xf>
    <xf numFmtId="0" fontId="16" fillId="18" borderId="66" xfId="0" applyFont="1" applyFill="1" applyBorder="1" applyAlignment="1">
      <alignment horizontal="center" vertical="center" wrapText="1"/>
    </xf>
    <xf numFmtId="0" fontId="16" fillId="18" borderId="73" xfId="0" applyFont="1" applyFill="1" applyBorder="1" applyAlignment="1">
      <alignment horizontal="center" vertical="center" wrapText="1"/>
    </xf>
    <xf numFmtId="0" fontId="16" fillId="24" borderId="67" xfId="0" applyFont="1" applyFill="1" applyBorder="1" applyAlignment="1">
      <alignment horizontal="center" vertical="center" wrapText="1"/>
    </xf>
    <xf numFmtId="0" fontId="16" fillId="24" borderId="74" xfId="0" applyFont="1" applyFill="1" applyBorder="1" applyAlignment="1">
      <alignment horizontal="center" vertical="center" wrapText="1"/>
    </xf>
    <xf numFmtId="0" fontId="16" fillId="24" borderId="14" xfId="0" applyFont="1" applyFill="1" applyBorder="1" applyAlignment="1">
      <alignment horizontal="center" vertical="center" wrapText="1"/>
    </xf>
    <xf numFmtId="0" fontId="16" fillId="24" borderId="11" xfId="0" applyFont="1" applyFill="1" applyBorder="1" applyAlignment="1">
      <alignment horizontal="center" vertical="center" wrapText="1"/>
    </xf>
    <xf numFmtId="0" fontId="16" fillId="24" borderId="4" xfId="0" applyFont="1" applyFill="1" applyBorder="1" applyAlignment="1">
      <alignment horizontal="center" vertical="center" wrapText="1"/>
    </xf>
    <xf numFmtId="0" fontId="16" fillId="24" borderId="47" xfId="0" applyFont="1" applyFill="1" applyBorder="1" applyAlignment="1">
      <alignment horizontal="center" vertical="center" wrapText="1"/>
    </xf>
    <xf numFmtId="0" fontId="16" fillId="32" borderId="66" xfId="0" applyFont="1" applyFill="1" applyBorder="1" applyAlignment="1">
      <alignment horizontal="center" vertical="center" wrapText="1"/>
    </xf>
    <xf numFmtId="0" fontId="16" fillId="32" borderId="73" xfId="0" applyFont="1" applyFill="1" applyBorder="1" applyAlignment="1">
      <alignment horizontal="center" vertical="center" wrapText="1"/>
    </xf>
    <xf numFmtId="0" fontId="16" fillId="7" borderId="67" xfId="0" applyFont="1" applyFill="1" applyBorder="1" applyAlignment="1">
      <alignment horizontal="center" vertical="center" wrapText="1"/>
    </xf>
    <xf numFmtId="0" fontId="16" fillId="7" borderId="74" xfId="0" applyFont="1" applyFill="1" applyBorder="1" applyAlignment="1">
      <alignment horizontal="center" vertical="center" wrapText="1"/>
    </xf>
    <xf numFmtId="0" fontId="16" fillId="7" borderId="68" xfId="0" applyFont="1" applyFill="1" applyBorder="1" applyAlignment="1">
      <alignment horizontal="center" vertical="center" wrapText="1"/>
    </xf>
    <xf numFmtId="0" fontId="16" fillId="7" borderId="75" xfId="0" applyFont="1" applyFill="1" applyBorder="1" applyAlignment="1">
      <alignment horizontal="center" vertical="center" wrapText="1"/>
    </xf>
    <xf numFmtId="0" fontId="16" fillId="33" borderId="66" xfId="0" applyFont="1" applyFill="1" applyBorder="1" applyAlignment="1">
      <alignment horizontal="center" vertical="center" wrapText="1"/>
    </xf>
    <xf numFmtId="0" fontId="16" fillId="33" borderId="73" xfId="0" applyFont="1" applyFill="1" applyBorder="1" applyAlignment="1">
      <alignment horizontal="center" vertical="center" wrapText="1"/>
    </xf>
    <xf numFmtId="0" fontId="16" fillId="30" borderId="67" xfId="0" applyFont="1" applyFill="1" applyBorder="1" applyAlignment="1">
      <alignment horizontal="center" vertical="center" wrapText="1"/>
    </xf>
    <xf numFmtId="0" fontId="16" fillId="30" borderId="74" xfId="0" applyFont="1" applyFill="1" applyBorder="1" applyAlignment="1">
      <alignment horizontal="center" vertical="center" wrapText="1"/>
    </xf>
    <xf numFmtId="0" fontId="16" fillId="30" borderId="69" xfId="0" applyFont="1" applyFill="1" applyBorder="1" applyAlignment="1">
      <alignment horizontal="center" vertical="center" wrapText="1"/>
    </xf>
    <xf numFmtId="0" fontId="16" fillId="30" borderId="76" xfId="0" applyFont="1" applyFill="1" applyBorder="1" applyAlignment="1">
      <alignment horizontal="center" vertical="center" wrapText="1"/>
    </xf>
    <xf numFmtId="0" fontId="16" fillId="31" borderId="70" xfId="0" applyFont="1" applyFill="1" applyBorder="1" applyAlignment="1">
      <alignment horizontal="center" vertical="center" wrapText="1"/>
    </xf>
    <xf numFmtId="0" fontId="16" fillId="31" borderId="77" xfId="0" applyFont="1" applyFill="1" applyBorder="1" applyAlignment="1">
      <alignment horizontal="center" vertical="center" wrapText="1"/>
    </xf>
    <xf numFmtId="0" fontId="16" fillId="31" borderId="71" xfId="0" applyFont="1" applyFill="1" applyBorder="1" applyAlignment="1">
      <alignment horizontal="center" vertical="center" wrapText="1"/>
    </xf>
    <xf numFmtId="0" fontId="16" fillId="31" borderId="78" xfId="0" applyFont="1" applyFill="1" applyBorder="1" applyAlignment="1">
      <alignment horizontal="center" vertical="center" wrapText="1"/>
    </xf>
    <xf numFmtId="0" fontId="16" fillId="15" borderId="68" xfId="0" applyFont="1" applyFill="1" applyBorder="1" applyAlignment="1">
      <alignment horizontal="center" vertical="center" wrapText="1"/>
    </xf>
    <xf numFmtId="0" fontId="16" fillId="15" borderId="75" xfId="0" applyFont="1" applyFill="1" applyBorder="1" applyAlignment="1">
      <alignment horizontal="center" vertical="center" wrapText="1"/>
    </xf>
    <xf numFmtId="0" fontId="16" fillId="15" borderId="66" xfId="0" applyFont="1" applyFill="1" applyBorder="1" applyAlignment="1">
      <alignment horizontal="center" vertical="center" wrapText="1"/>
    </xf>
    <xf numFmtId="0" fontId="16" fillId="15" borderId="73" xfId="0" applyFont="1" applyFill="1" applyBorder="1" applyAlignment="1">
      <alignment horizontal="center" vertical="center" wrapText="1"/>
    </xf>
    <xf numFmtId="0" fontId="16" fillId="15" borderId="67" xfId="0" applyFont="1" applyFill="1" applyBorder="1" applyAlignment="1">
      <alignment horizontal="center" vertical="center" wrapText="1"/>
    </xf>
    <xf numFmtId="0" fontId="16" fillId="15" borderId="74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vertical="center"/>
    </xf>
    <xf numFmtId="164" fontId="71" fillId="0" borderId="11" xfId="0" applyNumberFormat="1" applyFont="1" applyBorder="1" applyAlignment="1">
      <alignment horizontal="center" vertical="center" wrapText="1"/>
    </xf>
    <xf numFmtId="164" fontId="60" fillId="0" borderId="1" xfId="0" applyNumberFormat="1" applyFont="1" applyBorder="1" applyAlignment="1">
      <alignment horizontal="center" vertical="center"/>
    </xf>
  </cellXfs>
  <cellStyles count="3">
    <cellStyle name="Ezres" xfId="2" builtinId="3"/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colors>
    <mruColors>
      <color rgb="FF70AD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28575</xdr:colOff>
      <xdr:row>7</xdr:row>
      <xdr:rowOff>38100</xdr:rowOff>
    </xdr:from>
    <xdr:to>
      <xdr:col>28</xdr:col>
      <xdr:colOff>742950</xdr:colOff>
      <xdr:row>15</xdr:row>
      <xdr:rowOff>171450</xdr:rowOff>
    </xdr:to>
    <xdr:cxnSp macro="">
      <xdr:nvCxnSpPr>
        <xdr:cNvPr id="2" name="Egyenes összekötő 1">
          <a:extLst>
            <a:ext uri="{FF2B5EF4-FFF2-40B4-BE49-F238E27FC236}">
              <a16:creationId xmlns:a16="http://schemas.microsoft.com/office/drawing/2014/main" id="{808157FF-A10E-8C49-8E79-7E55A99B5B28}"/>
            </a:ext>
          </a:extLst>
        </xdr:cNvPr>
        <xdr:cNvCxnSpPr/>
      </xdr:nvCxnSpPr>
      <xdr:spPr>
        <a:xfrm>
          <a:off x="16208375" y="2997200"/>
          <a:ext cx="9845675" cy="2063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38100</xdr:colOff>
      <xdr:row>7</xdr:row>
      <xdr:rowOff>28575</xdr:rowOff>
    </xdr:from>
    <xdr:to>
      <xdr:col>28</xdr:col>
      <xdr:colOff>762000</xdr:colOff>
      <xdr:row>15</xdr:row>
      <xdr:rowOff>190500</xdr:rowOff>
    </xdr:to>
    <xdr:cxnSp macro="">
      <xdr:nvCxnSpPr>
        <xdr:cNvPr id="3" name="Egyenes összekötő 2">
          <a:extLst>
            <a:ext uri="{FF2B5EF4-FFF2-40B4-BE49-F238E27FC236}">
              <a16:creationId xmlns:a16="http://schemas.microsoft.com/office/drawing/2014/main" id="{E7BF77E2-7C4D-0F43-BA25-58651A7D89D6}"/>
            </a:ext>
          </a:extLst>
        </xdr:cNvPr>
        <xdr:cNvCxnSpPr/>
      </xdr:nvCxnSpPr>
      <xdr:spPr>
        <a:xfrm flipV="1">
          <a:off x="16217900" y="2987675"/>
          <a:ext cx="9855200" cy="2092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17</xdr:row>
      <xdr:rowOff>19050</xdr:rowOff>
    </xdr:from>
    <xdr:to>
      <xdr:col>2</xdr:col>
      <xdr:colOff>447675</xdr:colOff>
      <xdr:row>18</xdr:row>
      <xdr:rowOff>152400</xdr:rowOff>
    </xdr:to>
    <xdr:cxnSp macro="">
      <xdr:nvCxnSpPr>
        <xdr:cNvPr id="4" name="Egyenes összekötő nyíllal 3">
          <a:extLst>
            <a:ext uri="{FF2B5EF4-FFF2-40B4-BE49-F238E27FC236}">
              <a16:creationId xmlns:a16="http://schemas.microsoft.com/office/drawing/2014/main" id="{3A4CD3E5-13CE-4648-A1FE-311CDD51E6FB}"/>
            </a:ext>
          </a:extLst>
        </xdr:cNvPr>
        <xdr:cNvCxnSpPr/>
      </xdr:nvCxnSpPr>
      <xdr:spPr>
        <a:xfrm>
          <a:off x="1320800" y="5378450"/>
          <a:ext cx="993775" cy="3238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466725</xdr:colOff>
      <xdr:row>17</xdr:row>
      <xdr:rowOff>47625</xdr:rowOff>
    </xdr:from>
    <xdr:to>
      <xdr:col>5</xdr:col>
      <xdr:colOff>809625</xdr:colOff>
      <xdr:row>18</xdr:row>
      <xdr:rowOff>114300</xdr:rowOff>
    </xdr:to>
    <xdr:cxnSp macro="">
      <xdr:nvCxnSpPr>
        <xdr:cNvPr id="5" name="Egyenes összekötő nyíllal 4">
          <a:extLst>
            <a:ext uri="{FF2B5EF4-FFF2-40B4-BE49-F238E27FC236}">
              <a16:creationId xmlns:a16="http://schemas.microsoft.com/office/drawing/2014/main" id="{BA9A2967-8C52-A448-83EE-BAE6B7CCBECE}"/>
            </a:ext>
          </a:extLst>
        </xdr:cNvPr>
        <xdr:cNvCxnSpPr/>
      </xdr:nvCxnSpPr>
      <xdr:spPr>
        <a:xfrm flipH="1">
          <a:off x="4086225" y="5407025"/>
          <a:ext cx="1447800" cy="2571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257175</xdr:colOff>
      <xdr:row>17</xdr:row>
      <xdr:rowOff>57150</xdr:rowOff>
    </xdr:from>
    <xdr:to>
      <xdr:col>7</xdr:col>
      <xdr:colOff>781050</xdr:colOff>
      <xdr:row>18</xdr:row>
      <xdr:rowOff>123825</xdr:rowOff>
    </xdr:to>
    <xdr:cxnSp macro="">
      <xdr:nvCxnSpPr>
        <xdr:cNvPr id="6" name="Egyenes összekötő nyíllal 5">
          <a:extLst>
            <a:ext uri="{FF2B5EF4-FFF2-40B4-BE49-F238E27FC236}">
              <a16:creationId xmlns:a16="http://schemas.microsoft.com/office/drawing/2014/main" id="{61CDA091-BC95-D245-A4E9-D76745A6E427}"/>
            </a:ext>
          </a:extLst>
        </xdr:cNvPr>
        <xdr:cNvCxnSpPr/>
      </xdr:nvCxnSpPr>
      <xdr:spPr>
        <a:xfrm>
          <a:off x="5946775" y="5416550"/>
          <a:ext cx="1146175" cy="2571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666750</xdr:colOff>
      <xdr:row>17</xdr:row>
      <xdr:rowOff>85725</xdr:rowOff>
    </xdr:from>
    <xdr:to>
      <xdr:col>10</xdr:col>
      <xdr:colOff>657225</xdr:colOff>
      <xdr:row>18</xdr:row>
      <xdr:rowOff>104775</xdr:rowOff>
    </xdr:to>
    <xdr:cxnSp macro="">
      <xdr:nvCxnSpPr>
        <xdr:cNvPr id="7" name="Egyenes összekötő nyíllal 6">
          <a:extLst>
            <a:ext uri="{FF2B5EF4-FFF2-40B4-BE49-F238E27FC236}">
              <a16:creationId xmlns:a16="http://schemas.microsoft.com/office/drawing/2014/main" id="{3BAA0E92-49E4-CC46-8E83-8AB52336F4DE}"/>
            </a:ext>
          </a:extLst>
        </xdr:cNvPr>
        <xdr:cNvCxnSpPr/>
      </xdr:nvCxnSpPr>
      <xdr:spPr>
        <a:xfrm flipH="1">
          <a:off x="8693150" y="5445125"/>
          <a:ext cx="1095375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209550</xdr:colOff>
      <xdr:row>17</xdr:row>
      <xdr:rowOff>47625</xdr:rowOff>
    </xdr:from>
    <xdr:to>
      <xdr:col>12</xdr:col>
      <xdr:colOff>476250</xdr:colOff>
      <xdr:row>18</xdr:row>
      <xdr:rowOff>133350</xdr:rowOff>
    </xdr:to>
    <xdr:cxnSp macro="">
      <xdr:nvCxnSpPr>
        <xdr:cNvPr id="8" name="Egyenes összekötő nyíllal 7">
          <a:extLst>
            <a:ext uri="{FF2B5EF4-FFF2-40B4-BE49-F238E27FC236}">
              <a16:creationId xmlns:a16="http://schemas.microsoft.com/office/drawing/2014/main" id="{F9786AF5-30B6-0A47-A8AC-4229311107E1}"/>
            </a:ext>
          </a:extLst>
        </xdr:cNvPr>
        <xdr:cNvCxnSpPr/>
      </xdr:nvCxnSpPr>
      <xdr:spPr>
        <a:xfrm>
          <a:off x="10356850" y="5407025"/>
          <a:ext cx="838200" cy="2762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66675</xdr:colOff>
      <xdr:row>17</xdr:row>
      <xdr:rowOff>47625</xdr:rowOff>
    </xdr:from>
    <xdr:to>
      <xdr:col>13</xdr:col>
      <xdr:colOff>857250</xdr:colOff>
      <xdr:row>18</xdr:row>
      <xdr:rowOff>114300</xdr:rowOff>
    </xdr:to>
    <xdr:cxnSp macro="">
      <xdr:nvCxnSpPr>
        <xdr:cNvPr id="9" name="Egyenes összekötő nyíllal 8">
          <a:extLst>
            <a:ext uri="{FF2B5EF4-FFF2-40B4-BE49-F238E27FC236}">
              <a16:creationId xmlns:a16="http://schemas.microsoft.com/office/drawing/2014/main" id="{3CE39EA9-C7CB-8C44-BBD0-66B15B42B77A}"/>
            </a:ext>
          </a:extLst>
        </xdr:cNvPr>
        <xdr:cNvCxnSpPr/>
      </xdr:nvCxnSpPr>
      <xdr:spPr>
        <a:xfrm flipH="1">
          <a:off x="11636375" y="5407025"/>
          <a:ext cx="790575" cy="2571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Lajos/Desktop/2024/2024/Ha&#769;tte&#769;ranyag/2024%20u&#776;zleti%20tervhez_konyha.xlsx" TargetMode="External"/><Relationship Id="rId1" Type="http://schemas.openxmlformats.org/officeDocument/2006/relationships/externalLinkPath" Target="Ha&#769;tte&#769;ranyag/2024%20u&#776;zleti%20tervhez_konyh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ar/folders/yn/wwfgsyq10nn601z1_cl7p0hw0000gq/T/com.microsoft.Outlook/Outlook%20ideiglenes%20mappa&#769;ja/2023%20u&#776;zleti%20tervhez%203.(%20pe&#769;nzforg.,%20a&#769;tlag%20adag,rezsi,)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/Volumes/kozos/Terembe&#769;rleti%20o&#776;sszesi&#769;to&#779;k/O&#776;sszesi&#769;to&#779;_2023/Terembe&#769;rlet%20o&#776;sszesi&#769;to&#779;_2023.xlsx" TargetMode="External"/><Relationship Id="rId1" Type="http://schemas.openxmlformats.org/officeDocument/2006/relationships/externalLinkPath" Target="/Volumes/kozos/Terembe&#769;rleti%20o&#776;sszesi&#769;to&#779;k/O&#776;sszesi&#769;to&#779;_2023/Terembe&#769;rlet%20o&#776;sszesi&#769;to&#779;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ér"/>
      <sheetName val="pénzforg."/>
      <sheetName val="rezsi Nonprofit"/>
      <sheetName val="szünidei étk."/>
      <sheetName val="konyha terv "/>
    </sheetNames>
    <sheetDataSet>
      <sheetData sheetId="0" refreshError="1"/>
      <sheetData sheetId="1">
        <row r="9">
          <cell r="I9">
            <v>5225853.6452585747</v>
          </cell>
        </row>
        <row r="26">
          <cell r="H26">
            <v>9657377.6535433084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ér.díj"/>
      <sheetName val="bér"/>
      <sheetName val="egyéb rendezvények"/>
      <sheetName val="pénzforg."/>
      <sheetName val="rezsi Nonprofit"/>
      <sheetName val="átlag adagsz."/>
      <sheetName val="szünidei étk."/>
    </sheetNames>
    <sheetDataSet>
      <sheetData sheetId="0"/>
      <sheetData sheetId="1"/>
      <sheetData sheetId="2" refreshError="1"/>
      <sheetData sheetId="3"/>
      <sheetData sheetId="4" refreshError="1">
        <row r="18">
          <cell r="D18">
            <v>61640035.282922477</v>
          </cell>
        </row>
      </sheetData>
      <sheetData sheetId="5"/>
      <sheetData sheetId="6" refreshError="1">
        <row r="8">
          <cell r="D8">
            <v>121176</v>
          </cell>
          <cell r="J8">
            <v>5508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Állandó bérlők"/>
      <sheetName val="KSK"/>
      <sheetName val="MFC"/>
      <sheetName val="Egyéb bérlők(csarnok,iskola)"/>
      <sheetName val="Sportpálya"/>
      <sheetName val=" Összesítés"/>
    </sheetNames>
    <sheetDataSet>
      <sheetData sheetId="0">
        <row r="4">
          <cell r="B4">
            <v>34</v>
          </cell>
          <cell r="C4">
            <v>102</v>
          </cell>
          <cell r="G4">
            <v>265625</v>
          </cell>
          <cell r="H4">
            <v>796875</v>
          </cell>
          <cell r="I4">
            <v>38</v>
          </cell>
          <cell r="J4">
            <v>114</v>
          </cell>
          <cell r="N4">
            <v>296875</v>
          </cell>
          <cell r="O4">
            <v>890625</v>
          </cell>
        </row>
        <row r="15">
          <cell r="P15">
            <v>38</v>
          </cell>
          <cell r="Q15">
            <v>114</v>
          </cell>
          <cell r="U15">
            <v>326562.5</v>
          </cell>
          <cell r="V15">
            <v>979687.5</v>
          </cell>
          <cell r="W15">
            <v>30</v>
          </cell>
          <cell r="X15">
            <v>90</v>
          </cell>
          <cell r="AB15">
            <v>257812.5</v>
          </cell>
          <cell r="AC15">
            <v>773437.5</v>
          </cell>
          <cell r="AD15">
            <v>42</v>
          </cell>
          <cell r="AE15">
            <v>126</v>
          </cell>
          <cell r="AI15">
            <v>360937.5</v>
          </cell>
          <cell r="AJ15">
            <v>1082812.5</v>
          </cell>
          <cell r="AK15">
            <v>24</v>
          </cell>
          <cell r="AL15">
            <v>72</v>
          </cell>
          <cell r="AP15">
            <v>206250</v>
          </cell>
          <cell r="AQ15">
            <v>618750</v>
          </cell>
          <cell r="AR15">
            <v>0</v>
          </cell>
          <cell r="AS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D15">
            <v>0</v>
          </cell>
          <cell r="BE15">
            <v>0</v>
          </cell>
          <cell r="BF15">
            <v>42</v>
          </cell>
          <cell r="BG15">
            <v>126</v>
          </cell>
          <cell r="BK15">
            <v>360937.5</v>
          </cell>
          <cell r="BL15">
            <v>1082812.5</v>
          </cell>
          <cell r="BM15">
            <v>38</v>
          </cell>
          <cell r="BN15">
            <v>114</v>
          </cell>
          <cell r="BR15">
            <v>326562.5</v>
          </cell>
          <cell r="BS15">
            <v>979687.5</v>
          </cell>
          <cell r="BT15">
            <v>42</v>
          </cell>
          <cell r="BU15">
            <v>126</v>
          </cell>
          <cell r="BY15">
            <v>360937.5</v>
          </cell>
          <cell r="BZ15">
            <v>1082812.5</v>
          </cell>
          <cell r="CA15">
            <v>30</v>
          </cell>
          <cell r="CB15">
            <v>90</v>
          </cell>
          <cell r="CF15">
            <v>257812.5</v>
          </cell>
          <cell r="CG15">
            <v>773437.5</v>
          </cell>
        </row>
        <row r="16">
          <cell r="B16">
            <v>34</v>
          </cell>
          <cell r="C16">
            <v>1</v>
          </cell>
          <cell r="E16">
            <v>39.25</v>
          </cell>
          <cell r="F16">
            <v>62375</v>
          </cell>
          <cell r="G16">
            <v>292050</v>
          </cell>
          <cell r="H16">
            <v>8000</v>
          </cell>
          <cell r="I16">
            <v>37.75</v>
          </cell>
          <cell r="J16">
            <v>1</v>
          </cell>
          <cell r="L16">
            <v>46.25</v>
          </cell>
          <cell r="M16">
            <v>62375</v>
          </cell>
          <cell r="N16">
            <v>324637.5</v>
          </cell>
          <cell r="O16">
            <v>8000</v>
          </cell>
          <cell r="P16">
            <v>37.5</v>
          </cell>
          <cell r="Q16">
            <v>1</v>
          </cell>
          <cell r="S16">
            <v>50.25</v>
          </cell>
          <cell r="T16">
            <v>64625</v>
          </cell>
          <cell r="U16">
            <v>381225</v>
          </cell>
          <cell r="V16">
            <v>20000</v>
          </cell>
          <cell r="W16">
            <v>26.75</v>
          </cell>
          <cell r="X16">
            <v>1</v>
          </cell>
          <cell r="Z16">
            <v>39.5</v>
          </cell>
          <cell r="AA16">
            <v>64750</v>
          </cell>
          <cell r="AB16">
            <v>270562.5</v>
          </cell>
          <cell r="AC16">
            <v>20000</v>
          </cell>
          <cell r="AD16">
            <v>33.25</v>
          </cell>
          <cell r="AE16">
            <v>1</v>
          </cell>
          <cell r="AG16">
            <v>45.75</v>
          </cell>
          <cell r="AH16">
            <v>59875</v>
          </cell>
          <cell r="AI16">
            <v>337837.5</v>
          </cell>
          <cell r="AJ16">
            <v>33000</v>
          </cell>
          <cell r="AK16">
            <v>16.5</v>
          </cell>
          <cell r="AL16">
            <v>1</v>
          </cell>
          <cell r="AN16">
            <v>48</v>
          </cell>
          <cell r="AO16">
            <v>55000</v>
          </cell>
          <cell r="AP16">
            <v>117975</v>
          </cell>
          <cell r="AQ16">
            <v>20000</v>
          </cell>
          <cell r="AR16">
            <v>9</v>
          </cell>
          <cell r="AS16">
            <v>1</v>
          </cell>
          <cell r="AU16">
            <v>47</v>
          </cell>
          <cell r="AV16">
            <v>55000</v>
          </cell>
          <cell r="AW16">
            <v>64350</v>
          </cell>
          <cell r="AX16">
            <v>20000</v>
          </cell>
          <cell r="AY16">
            <v>7</v>
          </cell>
          <cell r="AZ16">
            <v>1</v>
          </cell>
          <cell r="BB16">
            <v>49</v>
          </cell>
          <cell r="BC16">
            <v>55000</v>
          </cell>
          <cell r="BD16">
            <v>50050</v>
          </cell>
          <cell r="BE16">
            <v>20000</v>
          </cell>
          <cell r="BF16">
            <v>25.75</v>
          </cell>
          <cell r="BG16">
            <v>1</v>
          </cell>
          <cell r="BI16">
            <v>44</v>
          </cell>
          <cell r="BJ16">
            <v>55000</v>
          </cell>
          <cell r="BK16">
            <v>258862.5</v>
          </cell>
          <cell r="BL16">
            <v>20000</v>
          </cell>
          <cell r="BN16">
            <v>1</v>
          </cell>
          <cell r="BP16">
            <v>48</v>
          </cell>
          <cell r="BQ16">
            <v>74500</v>
          </cell>
          <cell r="BR16">
            <v>342225</v>
          </cell>
          <cell r="BS16">
            <v>20000</v>
          </cell>
          <cell r="BU16">
            <v>1</v>
          </cell>
          <cell r="BW16">
            <v>48</v>
          </cell>
          <cell r="BX16">
            <v>74500</v>
          </cell>
          <cell r="BY16">
            <v>347100</v>
          </cell>
          <cell r="BZ16">
            <v>20000</v>
          </cell>
          <cell r="CB16">
            <v>1</v>
          </cell>
          <cell r="CD16">
            <v>38.25</v>
          </cell>
          <cell r="CE16">
            <v>69625</v>
          </cell>
          <cell r="CF16">
            <v>246187.5</v>
          </cell>
          <cell r="CG16">
            <v>20000</v>
          </cell>
        </row>
      </sheetData>
      <sheetData sheetId="1">
        <row r="11">
          <cell r="B11">
            <v>35</v>
          </cell>
          <cell r="C11">
            <v>95.5</v>
          </cell>
          <cell r="D11">
            <v>229670</v>
          </cell>
          <cell r="E11">
            <v>1262605.5</v>
          </cell>
          <cell r="F11">
            <v>36</v>
          </cell>
          <cell r="G11">
            <v>114</v>
          </cell>
          <cell r="H11">
            <v>236232</v>
          </cell>
          <cell r="I11">
            <v>1507194</v>
          </cell>
          <cell r="J11">
            <v>24</v>
          </cell>
          <cell r="K11">
            <v>131.5</v>
          </cell>
          <cell r="L11">
            <v>186144</v>
          </cell>
          <cell r="M11">
            <v>2054687.5</v>
          </cell>
          <cell r="N11">
            <v>17</v>
          </cell>
          <cell r="O11">
            <v>100.5</v>
          </cell>
          <cell r="P11">
            <v>131852</v>
          </cell>
          <cell r="Q11">
            <v>1570312.5</v>
          </cell>
          <cell r="R11">
            <v>23</v>
          </cell>
          <cell r="S11">
            <v>118</v>
          </cell>
          <cell r="T11">
            <v>178388</v>
          </cell>
          <cell r="U11">
            <v>1843750</v>
          </cell>
          <cell r="V11">
            <v>8</v>
          </cell>
          <cell r="W11">
            <v>42.5</v>
          </cell>
          <cell r="X11">
            <v>62048</v>
          </cell>
          <cell r="Y11">
            <v>664062.5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103.5</v>
          </cell>
          <cell r="AF11">
            <v>0</v>
          </cell>
          <cell r="AG11">
            <v>1617187.5</v>
          </cell>
          <cell r="AH11">
            <v>27</v>
          </cell>
          <cell r="AI11">
            <v>129.30000000000001</v>
          </cell>
          <cell r="AJ11">
            <v>209412</v>
          </cell>
          <cell r="AK11">
            <v>2020312.5000000002</v>
          </cell>
          <cell r="AM11">
            <v>114.5</v>
          </cell>
          <cell r="AN11">
            <v>147364</v>
          </cell>
          <cell r="AO11">
            <v>1789062.5</v>
          </cell>
          <cell r="AQ11">
            <v>114.5</v>
          </cell>
          <cell r="AR11">
            <v>0</v>
          </cell>
          <cell r="AS11">
            <v>1789062.5</v>
          </cell>
          <cell r="AU11">
            <v>57.25</v>
          </cell>
          <cell r="AV11">
            <v>0</v>
          </cell>
          <cell r="AW11">
            <v>894531.25</v>
          </cell>
        </row>
      </sheetData>
      <sheetData sheetId="2">
        <row r="4">
          <cell r="D4">
            <v>0</v>
          </cell>
        </row>
        <row r="6">
          <cell r="B6">
            <v>0</v>
          </cell>
        </row>
      </sheetData>
      <sheetData sheetId="3">
        <row r="4">
          <cell r="I4">
            <v>0</v>
          </cell>
          <cell r="J4">
            <v>0</v>
          </cell>
        </row>
        <row r="31">
          <cell r="E31">
            <v>84</v>
          </cell>
          <cell r="F31">
            <v>1750000</v>
          </cell>
          <cell r="G31">
            <v>0</v>
          </cell>
          <cell r="H31">
            <v>0</v>
          </cell>
          <cell r="N31">
            <v>51</v>
          </cell>
          <cell r="O31">
            <v>1077800</v>
          </cell>
          <cell r="P31">
            <v>0</v>
          </cell>
          <cell r="T31">
            <v>10</v>
          </cell>
          <cell r="U31">
            <v>0</v>
          </cell>
          <cell r="W31">
            <v>7.5</v>
          </cell>
          <cell r="X31">
            <v>214500</v>
          </cell>
          <cell r="Y31">
            <v>0</v>
          </cell>
          <cell r="Z31">
            <v>0</v>
          </cell>
          <cell r="AC31">
            <v>0</v>
          </cell>
          <cell r="AD31">
            <v>4</v>
          </cell>
          <cell r="AE31">
            <v>0</v>
          </cell>
          <cell r="AF31">
            <v>33</v>
          </cell>
          <cell r="AG31">
            <v>817400</v>
          </cell>
          <cell r="AH31">
            <v>0</v>
          </cell>
          <cell r="AI31">
            <v>0</v>
          </cell>
          <cell r="AJ31">
            <v>20</v>
          </cell>
          <cell r="AK31">
            <v>120000</v>
          </cell>
          <cell r="AL31">
            <v>0</v>
          </cell>
          <cell r="AM31">
            <v>0</v>
          </cell>
          <cell r="AN31">
            <v>3</v>
          </cell>
          <cell r="AO31">
            <v>24</v>
          </cell>
          <cell r="AP31">
            <v>520000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13</v>
          </cell>
          <cell r="AV31">
            <v>4</v>
          </cell>
          <cell r="AW31">
            <v>8</v>
          </cell>
          <cell r="AX31">
            <v>0</v>
          </cell>
          <cell r="AY31">
            <v>0</v>
          </cell>
          <cell r="AZ31">
            <v>1.5</v>
          </cell>
          <cell r="BA31">
            <v>9750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8</v>
          </cell>
          <cell r="BU31">
            <v>70000</v>
          </cell>
          <cell r="BV31">
            <v>0</v>
          </cell>
          <cell r="BW31">
            <v>8</v>
          </cell>
          <cell r="BX31">
            <v>12</v>
          </cell>
          <cell r="BY31">
            <v>22.5</v>
          </cell>
          <cell r="BZ31">
            <v>300000</v>
          </cell>
          <cell r="CA31">
            <v>0</v>
          </cell>
          <cell r="CB31">
            <v>0</v>
          </cell>
          <cell r="CC31">
            <v>24</v>
          </cell>
          <cell r="CD31">
            <v>125000</v>
          </cell>
          <cell r="CE31">
            <v>0</v>
          </cell>
          <cell r="CF31">
            <v>0</v>
          </cell>
          <cell r="CG31">
            <v>0</v>
          </cell>
          <cell r="CH31">
            <v>22.5</v>
          </cell>
          <cell r="CI31">
            <v>560300</v>
          </cell>
          <cell r="CK31">
            <v>0</v>
          </cell>
          <cell r="CL31">
            <v>8</v>
          </cell>
          <cell r="CM31">
            <v>50000</v>
          </cell>
          <cell r="CN31">
            <v>12</v>
          </cell>
          <cell r="CO31">
            <v>0</v>
          </cell>
          <cell r="CP31">
            <v>0</v>
          </cell>
          <cell r="CQ31">
            <v>37</v>
          </cell>
          <cell r="CT31">
            <v>330000</v>
          </cell>
          <cell r="CU31">
            <v>9</v>
          </cell>
          <cell r="CV31">
            <v>55000</v>
          </cell>
          <cell r="CW31">
            <v>0</v>
          </cell>
          <cell r="CX31">
            <v>8</v>
          </cell>
          <cell r="CY31">
            <v>0</v>
          </cell>
          <cell r="CZ31">
            <v>48</v>
          </cell>
          <cell r="DA31">
            <v>1040000</v>
          </cell>
          <cell r="DC31">
            <v>0</v>
          </cell>
          <cell r="DD31">
            <v>9</v>
          </cell>
          <cell r="DE31">
            <v>55000</v>
          </cell>
        </row>
      </sheetData>
      <sheetData sheetId="4">
        <row r="17">
          <cell r="B17">
            <v>30.5</v>
          </cell>
          <cell r="C17">
            <v>8.5</v>
          </cell>
          <cell r="H17">
            <v>8</v>
          </cell>
          <cell r="I17">
            <v>57200</v>
          </cell>
          <cell r="K17">
            <v>18</v>
          </cell>
          <cell r="L17">
            <v>29</v>
          </cell>
          <cell r="O17">
            <v>7</v>
          </cell>
          <cell r="Q17">
            <v>17</v>
          </cell>
          <cell r="R17">
            <v>121550</v>
          </cell>
          <cell r="T17">
            <v>8</v>
          </cell>
          <cell r="U17">
            <v>14</v>
          </cell>
          <cell r="W17">
            <v>4.5</v>
          </cell>
          <cell r="X17">
            <v>10</v>
          </cell>
        </row>
      </sheetData>
      <sheetData sheetId="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onon Office" id="{E362924A-8A89-094D-B9CF-C5D41768A3C8}" userId="S::office@mononkft.onmicrosoft.com::66280468-f9fa-4e40-a693-b3a58fb97e6d" providerId="AD"/>
</personList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3-02-09T07:57:07.30" personId="{E362924A-8A89-094D-B9CF-C5D41768A3C8}" id="{FA994FA4-F203-844B-B4AF-968C904D55E9}">
    <text>4 fő</text>
  </threadedComment>
  <threadedComment ref="D6" dT="2023-02-09T07:58:12.81" personId="{E362924A-8A89-094D-B9CF-C5D41768A3C8}" id="{11CF8910-FAA7-EA41-AD5D-DE6908175DB1}">
    <text>8 fő</text>
  </threadedComment>
  <threadedComment ref="F6" dT="2023-02-09T07:58:49.27" personId="{E362924A-8A89-094D-B9CF-C5D41768A3C8}" id="{7CBE5619-8B46-ED46-BF5C-AF375B3FF532}">
    <text>11 fő
(Össz. munkabérből 1.000.000.-Ft. átvezetve a vállalkozási tevékenységre)</text>
  </threadedComment>
  <threadedComment ref="H6" dT="2023-02-09T07:59:47.36" personId="{E362924A-8A89-094D-B9CF-C5D41768A3C8}" id="{6F104D77-618E-9A40-8D9D-DA8ED7CC9B72}">
    <text>5 fő</text>
  </threadedComment>
  <threadedComment ref="L6" dT="2023-02-09T08:25:51.15" personId="{E362924A-8A89-094D-B9CF-C5D41768A3C8}" id="{2FCCB5A8-644A-7647-AED0-11677855829B}">
    <text>Bért kell ide is tervezni = telep. tiszt.-ből 1.000.000.</text>
  </threadedComment>
  <threadedComment ref="N6" dT="2023-02-09T08:00:26.00" personId="{E362924A-8A89-094D-B9CF-C5D41768A3C8}" id="{0ADFE739-F210-3540-ACB4-3D79C551E202}">
    <text>1,5 fő</text>
  </threadedComment>
  <threadedComment ref="P6" dT="2023-02-09T08:00:44.43" personId="{E362924A-8A89-094D-B9CF-C5D41768A3C8}" id="{A3E51A97-DEC7-9F43-8CC5-45BEBBBF2709}">
    <text>1 fő</text>
  </threadedComment>
  <threadedComment ref="R6" dT="2023-02-09T08:00:58.27" personId="{E362924A-8A89-094D-B9CF-C5D41768A3C8}" id="{AE563FED-88F1-294C-B54E-98300D918C5B}">
    <text>2 fő</text>
  </threadedComment>
  <threadedComment ref="T6" dT="2023-02-09T08:01:57.44" personId="{E362924A-8A89-094D-B9CF-C5D41768A3C8}" id="{2A58FA5B-2C8D-ED4E-97E0-4AFE52BF4BCC}">
    <text>3 fő, abból 1 fő hamarosan szül</text>
  </threadedComment>
  <threadedComment ref="V6" dT="2023-02-09T08:02:13.64" personId="{E362924A-8A89-094D-B9CF-C5D41768A3C8}" id="{91F12A30-C2DA-1842-9C64-EFED04FDD984}">
    <text>1 fő 4 órás</text>
  </threadedComment>
  <threadedComment ref="B27" dT="2022-01-31T08:50:28.16" personId="{E362924A-8A89-094D-B9CF-C5D41768A3C8}" id="{2B755BA1-7D17-A84A-BE3A-219C73D15DB0}">
    <text>takarítószeres kocsi</text>
  </threadedComment>
  <threadedComment ref="X29" dT="2023-11-16T12:05:37.33" personId="{E362924A-8A89-094D-B9CF-C5D41768A3C8}" id="{4B6BBD51-5ECD-F843-94CC-89730384F1EA}">
    <text>Karácsonyfa daruzása, kosaras kocsi, szállítás</text>
  </threadedComment>
  <threadedComment ref="D40" dT="2022-02-11T11:16:32.32" personId="{E362924A-8A89-094D-B9CF-C5D41768A3C8}" id="{68D56397-A98C-3E4E-8856-84F384CDD255}">
    <text>klíma berendezés tisztítása, átmosása, szükséges!</text>
  </threadedComment>
  <threadedComment ref="R44" dT="2021-11-04T07:18:26.61" personId="{E362924A-8A89-094D-B9CF-C5D41768A3C8}" id="{AD038516-19B5-094F-B94A-F09CE4677C46}">
    <text>óvodai előiárnyzat</text>
  </threadedComment>
  <threadedComment ref="R54" dT="2023-11-16T12:14:09.46" personId="{E362924A-8A89-094D-B9CF-C5D41768A3C8}" id="{7E4287E4-27CE-404B-AFD1-1D16D869F6C7}">
    <text>Kerti fa játékok tetejének cseréje anyag+ munkadíj óvodai előirányzat</text>
  </threadedComment>
  <threadedComment ref="B55" dT="2023-10-11T14:28:00.77" personId="{E362924A-8A89-094D-B9CF-C5D41768A3C8}" id="{CCC7E7B1-7FDB-8E4F-A269-2AA6AC8A07C5}">
    <text>előirányzat módosítás +1.500.000.- szennyvízátemelő szivattyúk felújítása (mind a 2 elromlott)</text>
  </threadedComment>
  <threadedComment ref="R55" dT="2023-11-16T12:18:38.22" personId="{E362924A-8A89-094D-B9CF-C5D41768A3C8}" id="{A0D9FE10-C4A0-1C46-B9B7-23D652B14F7B}">
    <text>karbantartási anyag + fa festék + udvarrész takarítása óvodai előirányzat</text>
  </threadedComment>
  <threadedComment ref="R56" dT="2021-11-04T07:18:07.38" personId="{E362924A-8A89-094D-B9CF-C5D41768A3C8}" id="{FB93E4B4-BAD4-E649-A66F-B1EEB329A0BD}">
    <text>óvodai előirányzat</text>
  </threadedComment>
  <threadedComment ref="B58" dT="2022-09-22T06:12:36.65" personId="{E362924A-8A89-094D-B9CF-C5D41768A3C8}" id="{8DB240C5-1FC5-FD49-B4CC-9F751191873C}">
    <text xml:space="preserve">új mikró stb
</text>
  </threadedComment>
  <threadedComment ref="R82" dT="2021-11-04T07:19:37.76" personId="{E362924A-8A89-094D-B9CF-C5D41768A3C8}" id="{5AE24510-B750-2D4C-9224-360040E4018B}">
    <text>óvodai előirányzat</text>
  </threadedComment>
  <threadedComment ref="D88" dT="2021-11-03T13:09:20.76" personId="{E362924A-8A89-094D-B9CF-C5D41768A3C8}" id="{0209E22F-275E-6442-A615-A4255706D6F9}">
    <text>Verena: konyha, ebédlő leválasztása és karbantartása</text>
  </threadedComment>
  <threadedComment ref="D94" dT="2021-11-03T08:31:07.43" personId="{E362924A-8A89-094D-B9CF-C5D41768A3C8}" id="{EBBC6B92-7183-2649-AC5B-8E58EE922CAE}">
    <text>Gumikompenzátorok, elzárószelepek, légtelenítők, keringetőszivattyú cserére szorul</text>
  </threadedComment>
  <threadedComment ref="B149" dT="2023-02-09T08:29:47.37" personId="{E362924A-8A89-094D-B9CF-C5D41768A3C8}" id="{00CEF0F7-5999-BF46-BA8A-3793B8E8324F}">
    <text>68.750.-/nap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29" dT="2021-11-09T06:39:38.98" personId="{E362924A-8A89-094D-B9CF-C5D41768A3C8}" id="{43DC39A0-570E-F645-89E3-F1BEB317F581}">
    <text>heti 2 ellenőrzés</text>
  </threadedComment>
  <threadedComment ref="G29" dT="2021-11-09T06:41:07.44" personId="{E362924A-8A89-094D-B9CF-C5D41768A3C8}" id="{9E176DD7-120A-4A47-BF15-008EB6F48ED6}">
    <text>TÜV engedélyek megújítása 3 játszótér és 2 kondipark</text>
  </threadedComment>
  <threadedComment ref="I29" dT="2021-11-09T06:39:38.98" personId="{E362924A-8A89-094D-B9CF-C5D41768A3C8}" id="{3BF9A8EF-A782-684A-97E7-182B6EB02391}">
    <text>heti 2 ellenőrzés</text>
  </threadedComment>
  <threadedComment ref="L29" dT="2021-11-09T06:41:07.44" personId="{E362924A-8A89-094D-B9CF-C5D41768A3C8}" id="{EF0F8E3B-CF6D-A247-A4BB-2403ECCBF9AB}">
    <text>TÜV engedélyek megújítása 3 játszótér és 2 kondipark</text>
  </threadedComment>
  <threadedComment ref="G37" dT="2021-11-09T08:26:58.95" personId="{E362924A-8A89-094D-B9CF-C5D41768A3C8}" id="{D0E996F5-DC5E-004D-81D2-FBCA71EFBBFA}">
    <text>Meleg aszfalt(33000.-Ft/t) +mart aszfalt (kb 3100.-Ft/t) anyag ár.</text>
  </threadedComment>
  <threadedComment ref="L37" dT="2021-11-09T08:26:58.95" personId="{E362924A-8A89-094D-B9CF-C5D41768A3C8}" id="{B7C91DD3-F618-AF47-AC08-F998E3A05C35}">
    <text>Meleg aszfalt(33000.-Ft/t) +mart aszfalt (kb 3100.-Ft/t) anyag ár.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152"/>
  <sheetViews>
    <sheetView tabSelected="1" topLeftCell="A146" zoomScaleNormal="100" workbookViewId="0">
      <pane xSplit="1" topLeftCell="F1" activePane="topRight" state="frozen"/>
      <selection pane="topRight" activeCell="N169" sqref="N169"/>
    </sheetView>
  </sheetViews>
  <sheetFormatPr baseColWidth="10" defaultColWidth="9.1640625" defaultRowHeight="15" x14ac:dyDescent="0.2"/>
  <cols>
    <col min="1" max="1" width="48" style="211" customWidth="1"/>
    <col min="2" max="2" width="20.6640625" style="3" bestFit="1" customWidth="1"/>
    <col min="3" max="3" width="19.33203125" style="231" bestFit="1" customWidth="1"/>
    <col min="4" max="4" width="20.6640625" style="3" bestFit="1" customWidth="1"/>
    <col min="5" max="5" width="20.6640625" style="231" bestFit="1" customWidth="1"/>
    <col min="6" max="6" width="20.6640625" style="3" bestFit="1" customWidth="1"/>
    <col min="7" max="7" width="20.83203125" style="231" bestFit="1" customWidth="1"/>
    <col min="8" max="8" width="19.33203125" style="3" bestFit="1" customWidth="1"/>
    <col min="9" max="9" width="19.33203125" style="231" bestFit="1" customWidth="1"/>
    <col min="10" max="10" width="17.5" style="3" bestFit="1" customWidth="1"/>
    <col min="11" max="11" width="17.6640625" style="231" bestFit="1" customWidth="1"/>
    <col min="12" max="12" width="17.6640625" style="3" bestFit="1" customWidth="1"/>
    <col min="13" max="13" width="17.6640625" style="231" bestFit="1" customWidth="1"/>
    <col min="14" max="14" width="19.1640625" style="3" bestFit="1" customWidth="1"/>
    <col min="15" max="15" width="19.33203125" style="231" bestFit="1" customWidth="1"/>
    <col min="16" max="16" width="19.1640625" style="3" bestFit="1" customWidth="1"/>
    <col min="17" max="17" width="19.33203125" style="231" bestFit="1" customWidth="1"/>
    <col min="18" max="18" width="19.33203125" style="3" customWidth="1"/>
    <col min="19" max="19" width="19.33203125" style="223" customWidth="1"/>
    <col min="20" max="20" width="19.33203125" style="3" customWidth="1"/>
    <col min="21" max="25" width="19.33203125" style="231" customWidth="1"/>
    <col min="26" max="27" width="20.83203125" style="3" bestFit="1" customWidth="1"/>
    <col min="28" max="28" width="47.33203125" style="211" customWidth="1"/>
    <col min="29" max="29" width="15.6640625" style="3" bestFit="1" customWidth="1"/>
    <col min="30" max="34" width="14.5" style="3" customWidth="1"/>
    <col min="35" max="35" width="1.83203125" style="3" customWidth="1"/>
    <col min="36" max="36" width="11.33203125" style="3" bestFit="1" customWidth="1"/>
    <col min="37" max="16384" width="9.1640625" style="3"/>
  </cols>
  <sheetData>
    <row r="1" spans="1:34" ht="51.5" customHeight="1" x14ac:dyDescent="0.2">
      <c r="A1" s="210"/>
      <c r="B1" s="502" t="s">
        <v>100</v>
      </c>
      <c r="C1" s="511"/>
      <c r="D1" s="511" t="s">
        <v>101</v>
      </c>
      <c r="E1" s="511"/>
      <c r="F1" s="511" t="s">
        <v>102</v>
      </c>
      <c r="G1" s="511"/>
      <c r="H1" s="502" t="s">
        <v>104</v>
      </c>
      <c r="I1" s="503"/>
      <c r="J1" s="502" t="s">
        <v>99</v>
      </c>
      <c r="K1" s="503"/>
      <c r="L1" s="502" t="s">
        <v>105</v>
      </c>
      <c r="M1" s="503"/>
      <c r="N1" s="511" t="s">
        <v>103</v>
      </c>
      <c r="O1" s="503"/>
      <c r="P1" s="502" t="s">
        <v>98</v>
      </c>
      <c r="Q1" s="503"/>
      <c r="R1" s="502" t="s">
        <v>97</v>
      </c>
      <c r="S1" s="503"/>
      <c r="T1" s="502" t="s">
        <v>237</v>
      </c>
      <c r="U1" s="511"/>
      <c r="V1" s="502" t="s">
        <v>328</v>
      </c>
      <c r="W1" s="503"/>
      <c r="X1" s="512" t="s">
        <v>340</v>
      </c>
      <c r="Y1" s="512"/>
      <c r="Z1" s="512" t="s">
        <v>4</v>
      </c>
      <c r="AA1" s="512"/>
      <c r="AB1" s="210"/>
    </row>
    <row r="2" spans="1:34" ht="19" x14ac:dyDescent="0.2">
      <c r="A2" s="210"/>
      <c r="B2" s="184"/>
      <c r="C2" s="224"/>
      <c r="D2" s="185"/>
      <c r="E2" s="224"/>
      <c r="F2" s="185"/>
      <c r="G2" s="224"/>
      <c r="H2" s="185"/>
      <c r="I2" s="224"/>
      <c r="J2" s="185"/>
      <c r="K2" s="224"/>
      <c r="L2" s="185"/>
      <c r="M2" s="224"/>
      <c r="N2" s="185"/>
      <c r="O2" s="224"/>
      <c r="P2" s="185"/>
      <c r="Q2" s="224"/>
      <c r="R2" s="185"/>
      <c r="S2" s="243"/>
      <c r="T2" s="185"/>
      <c r="U2" s="224"/>
      <c r="V2" s="392"/>
      <c r="W2" s="243"/>
      <c r="X2" s="392"/>
      <c r="Y2" s="243"/>
      <c r="Z2" s="185"/>
      <c r="AA2" s="186"/>
      <c r="AB2" s="210"/>
      <c r="AC2" s="185"/>
      <c r="AD2" s="185"/>
      <c r="AE2" s="185"/>
      <c r="AF2" s="185"/>
      <c r="AG2" s="185"/>
      <c r="AH2" s="185"/>
    </row>
    <row r="3" spans="1:34" ht="20" customHeight="1" thickBot="1" x14ac:dyDescent="0.25">
      <c r="A3" s="508"/>
      <c r="B3" s="508"/>
      <c r="C3" s="225"/>
      <c r="D3" s="14"/>
      <c r="E3" s="225"/>
      <c r="F3" s="14"/>
      <c r="G3" s="225"/>
      <c r="H3" s="14"/>
      <c r="I3" s="225"/>
      <c r="J3" s="14"/>
      <c r="K3" s="225"/>
      <c r="L3" s="15"/>
      <c r="M3" s="225"/>
      <c r="N3" s="14"/>
      <c r="O3" s="225"/>
      <c r="V3" s="423"/>
      <c r="W3" s="424"/>
      <c r="X3" s="423"/>
      <c r="Y3" s="424"/>
    </row>
    <row r="4" spans="1:34" ht="15.75" customHeight="1" x14ac:dyDescent="0.2">
      <c r="A4" s="509" t="s">
        <v>0</v>
      </c>
      <c r="B4" s="188" t="s">
        <v>347</v>
      </c>
      <c r="C4" s="226" t="s">
        <v>348</v>
      </c>
      <c r="D4" s="188" t="s">
        <v>347</v>
      </c>
      <c r="E4" s="226" t="s">
        <v>348</v>
      </c>
      <c r="F4" s="188" t="s">
        <v>347</v>
      </c>
      <c r="G4" s="226" t="s">
        <v>348</v>
      </c>
      <c r="H4" s="188" t="s">
        <v>347</v>
      </c>
      <c r="I4" s="226" t="s">
        <v>348</v>
      </c>
      <c r="J4" s="188" t="s">
        <v>347</v>
      </c>
      <c r="K4" s="226" t="s">
        <v>348</v>
      </c>
      <c r="L4" s="188" t="s">
        <v>347</v>
      </c>
      <c r="M4" s="226" t="s">
        <v>348</v>
      </c>
      <c r="N4" s="188" t="s">
        <v>347</v>
      </c>
      <c r="O4" s="226" t="s">
        <v>348</v>
      </c>
      <c r="P4" s="188" t="s">
        <v>347</v>
      </c>
      <c r="Q4" s="226" t="s">
        <v>348</v>
      </c>
      <c r="R4" s="188" t="s">
        <v>347</v>
      </c>
      <c r="S4" s="226" t="s">
        <v>348</v>
      </c>
      <c r="T4" s="188" t="s">
        <v>347</v>
      </c>
      <c r="U4" s="226" t="s">
        <v>348</v>
      </c>
      <c r="V4" s="320" t="s">
        <v>347</v>
      </c>
      <c r="W4" s="321" t="s">
        <v>348</v>
      </c>
      <c r="X4" s="320" t="s">
        <v>347</v>
      </c>
      <c r="Y4" s="321" t="s">
        <v>348</v>
      </c>
      <c r="Z4" s="190" t="s">
        <v>347</v>
      </c>
      <c r="AA4" s="191" t="s">
        <v>348</v>
      </c>
      <c r="AB4" s="509" t="s">
        <v>0</v>
      </c>
    </row>
    <row r="5" spans="1:34" ht="51.5" customHeight="1" x14ac:dyDescent="0.2">
      <c r="A5" s="510"/>
      <c r="B5" s="502" t="s">
        <v>100</v>
      </c>
      <c r="C5" s="511"/>
      <c r="D5" s="511" t="s">
        <v>101</v>
      </c>
      <c r="E5" s="511"/>
      <c r="F5" s="511" t="s">
        <v>102</v>
      </c>
      <c r="G5" s="511"/>
      <c r="H5" s="502" t="s">
        <v>104</v>
      </c>
      <c r="I5" s="503"/>
      <c r="J5" s="502" t="s">
        <v>99</v>
      </c>
      <c r="K5" s="503"/>
      <c r="L5" s="502" t="s">
        <v>105</v>
      </c>
      <c r="M5" s="503"/>
      <c r="N5" s="511" t="s">
        <v>103</v>
      </c>
      <c r="O5" s="503"/>
      <c r="P5" s="502" t="s">
        <v>98</v>
      </c>
      <c r="Q5" s="503"/>
      <c r="R5" s="502" t="s">
        <v>97</v>
      </c>
      <c r="S5" s="503"/>
      <c r="T5" s="502" t="s">
        <v>237</v>
      </c>
      <c r="U5" s="511"/>
      <c r="V5" s="502" t="s">
        <v>328</v>
      </c>
      <c r="W5" s="503"/>
      <c r="X5" s="502" t="s">
        <v>340</v>
      </c>
      <c r="Y5" s="503"/>
      <c r="Z5" s="512" t="s">
        <v>4</v>
      </c>
      <c r="AA5" s="512"/>
      <c r="AB5" s="510"/>
    </row>
    <row r="6" spans="1:34" ht="15" customHeight="1" x14ac:dyDescent="0.2">
      <c r="A6" s="6" t="s">
        <v>5</v>
      </c>
      <c r="B6" s="344">
        <v>21052560</v>
      </c>
      <c r="C6" s="310">
        <v>15364505</v>
      </c>
      <c r="D6" s="95">
        <v>38349456</v>
      </c>
      <c r="E6" s="310">
        <v>23176284</v>
      </c>
      <c r="F6" s="95">
        <f>76778570-1000000</f>
        <v>75778570</v>
      </c>
      <c r="G6" s="310">
        <v>38627497</v>
      </c>
      <c r="H6" s="95">
        <v>47229307</v>
      </c>
      <c r="I6" s="310">
        <v>33876941</v>
      </c>
      <c r="J6" s="1">
        <f>K6/3*4</f>
        <v>0</v>
      </c>
      <c r="K6" s="223"/>
      <c r="L6" s="95">
        <v>1000000</v>
      </c>
      <c r="M6" s="223">
        <v>0</v>
      </c>
      <c r="N6" s="95"/>
      <c r="O6" s="310">
        <v>2518141</v>
      </c>
      <c r="P6" s="95">
        <v>7396214</v>
      </c>
      <c r="Q6" s="310">
        <v>5074575</v>
      </c>
      <c r="R6" s="95">
        <v>6333874</v>
      </c>
      <c r="S6" s="310">
        <v>5112023</v>
      </c>
      <c r="T6" s="95">
        <v>8560856</v>
      </c>
      <c r="U6" s="311">
        <v>6221933</v>
      </c>
      <c r="V6" s="393">
        <v>1314882</v>
      </c>
      <c r="W6" s="310"/>
      <c r="X6" s="421">
        <v>4728289</v>
      </c>
      <c r="Y6" s="408">
        <v>2209075</v>
      </c>
      <c r="Z6" s="4">
        <f>(B6+D6+F6+N6+H6+J6+L6+P6+T6+R6+V6+X6)</f>
        <v>211744008</v>
      </c>
      <c r="AA6" s="4">
        <f>C6+E6+G6+O6+I6+K6+M6+Q6+U6+S6+W6+Y6</f>
        <v>132180974</v>
      </c>
      <c r="AB6" s="6" t="s">
        <v>5</v>
      </c>
    </row>
    <row r="7" spans="1:34" ht="16" x14ac:dyDescent="0.2">
      <c r="A7" s="6" t="s">
        <v>6</v>
      </c>
      <c r="B7" s="343">
        <f t="shared" ref="B7:H7" si="0">B6*0.13</f>
        <v>2736832.8000000003</v>
      </c>
      <c r="C7" s="348">
        <v>1318594</v>
      </c>
      <c r="D7" s="95">
        <f t="shared" si="0"/>
        <v>4985429.28</v>
      </c>
      <c r="E7" s="310">
        <v>1613903</v>
      </c>
      <c r="F7" s="95">
        <f t="shared" si="0"/>
        <v>9851214.0999999996</v>
      </c>
      <c r="G7" s="310">
        <v>4091017</v>
      </c>
      <c r="H7" s="95">
        <f t="shared" si="0"/>
        <v>6139809.9100000001</v>
      </c>
      <c r="I7" s="310">
        <v>4384552</v>
      </c>
      <c r="J7" s="1">
        <f>J6*0.157</f>
        <v>0</v>
      </c>
      <c r="K7" s="223">
        <f t="shared" ref="K7:M7" si="1">K6*0.157</f>
        <v>0</v>
      </c>
      <c r="L7" s="95">
        <f>L6*0.13</f>
        <v>130000</v>
      </c>
      <c r="M7" s="223">
        <f t="shared" si="1"/>
        <v>0</v>
      </c>
      <c r="N7" s="95">
        <f>N6*0.13</f>
        <v>0</v>
      </c>
      <c r="O7" s="310">
        <v>244129</v>
      </c>
      <c r="P7" s="95">
        <f>P6*0.13</f>
        <v>961507.82000000007</v>
      </c>
      <c r="Q7" s="310">
        <v>677895</v>
      </c>
      <c r="R7" s="95">
        <f>R6*0.13</f>
        <v>823403.62</v>
      </c>
      <c r="S7" s="310">
        <v>569030</v>
      </c>
      <c r="T7" s="95">
        <f>T6*0.13+1</f>
        <v>1112912.28</v>
      </c>
      <c r="U7" s="311">
        <v>403823</v>
      </c>
      <c r="V7" s="393">
        <f>V6*0.13</f>
        <v>170934.66</v>
      </c>
      <c r="W7" s="310"/>
      <c r="X7" s="421">
        <f>X6*0.13</f>
        <v>614677.57000000007</v>
      </c>
      <c r="Y7" s="408">
        <v>211130</v>
      </c>
      <c r="Z7" s="4">
        <f>(B7+D7+F7+N7+H7+J7+L7+P7+T7+R7+V7+X7)</f>
        <v>27526722.040000003</v>
      </c>
      <c r="AA7" s="1">
        <f>C7+E7+G7+O7+I7+K7+M7+Q7+S7+U7+W7+Y7</f>
        <v>13514073</v>
      </c>
      <c r="AB7" s="6" t="s">
        <v>6</v>
      </c>
    </row>
    <row r="8" spans="1:34" ht="16" x14ac:dyDescent="0.2">
      <c r="A8" s="6" t="s">
        <v>299</v>
      </c>
      <c r="B8" s="343">
        <f>4*140000</f>
        <v>560000</v>
      </c>
      <c r="C8" s="348">
        <v>560000</v>
      </c>
      <c r="D8" s="95">
        <f>8*140000</f>
        <v>1120000</v>
      </c>
      <c r="E8" s="310">
        <v>1120000</v>
      </c>
      <c r="F8" s="95">
        <f>13*140000</f>
        <v>1820000</v>
      </c>
      <c r="G8" s="310">
        <v>1400000</v>
      </c>
      <c r="H8" s="95">
        <f>5*140000</f>
        <v>700000</v>
      </c>
      <c r="I8" s="310">
        <v>700000</v>
      </c>
      <c r="J8" s="1"/>
      <c r="K8" s="223"/>
      <c r="L8" s="95"/>
      <c r="M8" s="223"/>
      <c r="N8" s="95"/>
      <c r="O8" s="310"/>
      <c r="P8" s="95">
        <v>140000</v>
      </c>
      <c r="Q8" s="310">
        <v>140000</v>
      </c>
      <c r="R8" s="96">
        <f>140000+140000/2</f>
        <v>210000</v>
      </c>
      <c r="S8" s="311">
        <v>280000</v>
      </c>
      <c r="T8" s="96">
        <f>3*140000</f>
        <v>420000</v>
      </c>
      <c r="U8" s="311"/>
      <c r="V8" s="393">
        <v>140000</v>
      </c>
      <c r="W8" s="310"/>
      <c r="X8" s="421">
        <f>140000/2</f>
        <v>70000</v>
      </c>
      <c r="Y8" s="408"/>
      <c r="Z8" s="4">
        <f>T8+R8+N8+H8+F8+D8+B8+V8+P8+X8</f>
        <v>5180000</v>
      </c>
      <c r="AA8" s="1">
        <f>C8+E8+G8+I8+K8+M8+O8+Q8+S8+U8+W8+Y8</f>
        <v>4200000</v>
      </c>
      <c r="AB8" s="6" t="s">
        <v>341</v>
      </c>
    </row>
    <row r="9" spans="1:34" ht="16" x14ac:dyDescent="0.2">
      <c r="A9" s="6" t="s">
        <v>300</v>
      </c>
      <c r="B9" s="343">
        <f>B8*0.28</f>
        <v>156800.00000000003</v>
      </c>
      <c r="C9" s="348">
        <v>156800</v>
      </c>
      <c r="D9" s="95">
        <f>D8*0.28</f>
        <v>313600.00000000006</v>
      </c>
      <c r="E9" s="310">
        <v>313600</v>
      </c>
      <c r="F9" s="95">
        <f>F8*0.28</f>
        <v>509600.00000000006</v>
      </c>
      <c r="G9" s="310">
        <v>392000</v>
      </c>
      <c r="H9" s="95">
        <f>H8*0.28</f>
        <v>196000.00000000003</v>
      </c>
      <c r="I9" s="310">
        <v>196000</v>
      </c>
      <c r="J9" s="1"/>
      <c r="K9" s="223"/>
      <c r="L9" s="95"/>
      <c r="M9" s="223"/>
      <c r="N9" s="95">
        <f>N8*0.28</f>
        <v>0</v>
      </c>
      <c r="O9" s="310"/>
      <c r="P9" s="95">
        <f>P8*0.28</f>
        <v>39200.000000000007</v>
      </c>
      <c r="Q9" s="310">
        <v>39200</v>
      </c>
      <c r="R9" s="96">
        <f>R8*0.28</f>
        <v>58800.000000000007</v>
      </c>
      <c r="S9" s="311">
        <v>78400</v>
      </c>
      <c r="T9" s="96">
        <f>T8*0.28</f>
        <v>117600.00000000001</v>
      </c>
      <c r="U9" s="311"/>
      <c r="V9" s="393">
        <f>V8*0.28</f>
        <v>39200.000000000007</v>
      </c>
      <c r="W9" s="310"/>
      <c r="X9" s="421">
        <f>X8*0.28</f>
        <v>19600.000000000004</v>
      </c>
      <c r="Y9" s="408"/>
      <c r="Z9" s="4">
        <f>SUM(T9+R9+N9+H9+F9+D9+B9+V9+P9+X9)</f>
        <v>1450400.0000000002</v>
      </c>
      <c r="AA9" s="1">
        <f>C9+E9+G9+I9+K9+M9+O9+Q9+S9+U9+W9+Y9</f>
        <v>1176000</v>
      </c>
      <c r="AB9" s="6" t="s">
        <v>342</v>
      </c>
    </row>
    <row r="10" spans="1:34" ht="16" x14ac:dyDescent="0.2">
      <c r="A10" s="6" t="s">
        <v>7</v>
      </c>
      <c r="B10" s="95">
        <v>0</v>
      </c>
      <c r="C10" s="310">
        <v>0</v>
      </c>
      <c r="D10" s="95">
        <v>130000</v>
      </c>
      <c r="E10" s="310"/>
      <c r="F10" s="95">
        <v>220000</v>
      </c>
      <c r="G10" s="310"/>
      <c r="H10" s="95">
        <v>200000</v>
      </c>
      <c r="I10" s="310"/>
      <c r="J10" s="1">
        <f>K10/3*4</f>
        <v>0</v>
      </c>
      <c r="K10" s="223"/>
      <c r="L10" s="95">
        <f>M10/3*4</f>
        <v>0</v>
      </c>
      <c r="M10" s="223">
        <v>0</v>
      </c>
      <c r="N10" s="95">
        <v>0</v>
      </c>
      <c r="O10" s="310"/>
      <c r="P10" s="95">
        <v>320000</v>
      </c>
      <c r="Q10" s="310"/>
      <c r="R10" s="96">
        <v>0</v>
      </c>
      <c r="S10" s="311">
        <v>0</v>
      </c>
      <c r="T10" s="96">
        <v>0</v>
      </c>
      <c r="U10" s="311">
        <v>0</v>
      </c>
      <c r="V10" s="393"/>
      <c r="W10" s="310"/>
      <c r="X10" s="421"/>
      <c r="Y10" s="408"/>
      <c r="Z10" s="4">
        <f>B10+D10+F10+N10+H10+J10+L10+P10+T10+R10+V10+X10</f>
        <v>870000</v>
      </c>
      <c r="AA10" s="1">
        <f>C10+E10+G10+O10+I10+K10+M10+Q10+S10+U10+W10+Y10</f>
        <v>0</v>
      </c>
      <c r="AB10" s="6" t="s">
        <v>7</v>
      </c>
    </row>
    <row r="11" spans="1:34" ht="17" thickBot="1" x14ac:dyDescent="0.25">
      <c r="A11" s="212" t="s">
        <v>0</v>
      </c>
      <c r="B11" s="192">
        <f>SUM(B6:B10)</f>
        <v>24506192.800000001</v>
      </c>
      <c r="C11" s="227">
        <f t="shared" ref="C11:U11" si="2">SUM(C6:C10)</f>
        <v>17399899</v>
      </c>
      <c r="D11" s="192">
        <f>SUM(D6:D10)</f>
        <v>44898485.280000001</v>
      </c>
      <c r="E11" s="227">
        <f t="shared" si="2"/>
        <v>26223787</v>
      </c>
      <c r="F11" s="192">
        <f>SUM(F6:F10)</f>
        <v>88179384.099999994</v>
      </c>
      <c r="G11" s="227">
        <f t="shared" si="2"/>
        <v>44510514</v>
      </c>
      <c r="H11" s="192">
        <f>SUM(H6:H10)</f>
        <v>54465116.909999996</v>
      </c>
      <c r="I11" s="227">
        <f t="shared" si="2"/>
        <v>39157493</v>
      </c>
      <c r="J11" s="193">
        <f t="shared" si="2"/>
        <v>0</v>
      </c>
      <c r="K11" s="227">
        <f t="shared" si="2"/>
        <v>0</v>
      </c>
      <c r="L11" s="192">
        <f>SUM(L6:L10)</f>
        <v>1130000</v>
      </c>
      <c r="M11" s="227">
        <f t="shared" si="2"/>
        <v>0</v>
      </c>
      <c r="N11" s="192">
        <f>SUM(N6:N10)</f>
        <v>0</v>
      </c>
      <c r="O11" s="227">
        <f t="shared" si="2"/>
        <v>2762270</v>
      </c>
      <c r="P11" s="192">
        <f>SUM(P6:P10)</f>
        <v>8856921.8200000003</v>
      </c>
      <c r="Q11" s="227">
        <f t="shared" si="2"/>
        <v>5931670</v>
      </c>
      <c r="R11" s="192">
        <f>SUM(R6:R10)</f>
        <v>7426077.6200000001</v>
      </c>
      <c r="S11" s="227">
        <f t="shared" si="2"/>
        <v>6039453</v>
      </c>
      <c r="T11" s="192">
        <f>SUM(T6:T10)</f>
        <v>10211368.279999999</v>
      </c>
      <c r="U11" s="242">
        <f t="shared" si="2"/>
        <v>6625756</v>
      </c>
      <c r="V11" s="422">
        <f t="shared" ref="V11:AA11" si="3">SUM(V6:V10)</f>
        <v>1665016.66</v>
      </c>
      <c r="W11" s="227">
        <f t="shared" si="3"/>
        <v>0</v>
      </c>
      <c r="X11" s="422">
        <f t="shared" si="3"/>
        <v>5432566.5700000003</v>
      </c>
      <c r="Y11" s="227">
        <f t="shared" si="3"/>
        <v>2420205</v>
      </c>
      <c r="Z11" s="411">
        <f t="shared" si="3"/>
        <v>246771130.03999999</v>
      </c>
      <c r="AA11" s="412">
        <f t="shared" si="3"/>
        <v>151071047</v>
      </c>
      <c r="AB11" s="212" t="s">
        <v>0</v>
      </c>
      <c r="AC11" s="3">
        <f>SUM(Z6:Z10)</f>
        <v>246771130.03999999</v>
      </c>
    </row>
    <row r="12" spans="1:34" ht="24" customHeight="1" x14ac:dyDescent="0.2">
      <c r="A12" s="213"/>
      <c r="B12" s="196"/>
      <c r="C12" s="228"/>
      <c r="D12" s="196"/>
      <c r="E12" s="228"/>
      <c r="F12" s="196"/>
      <c r="G12" s="228"/>
      <c r="H12" s="196"/>
      <c r="I12" s="228"/>
      <c r="J12" s="196"/>
      <c r="K12" s="228"/>
      <c r="L12" s="196"/>
      <c r="M12" s="228"/>
      <c r="N12" s="196"/>
      <c r="O12" s="228"/>
      <c r="P12" s="196"/>
      <c r="Q12" s="228"/>
      <c r="R12" s="196"/>
      <c r="S12" s="244"/>
      <c r="T12" s="196"/>
      <c r="U12" s="228"/>
      <c r="V12" s="320"/>
      <c r="W12" s="321"/>
      <c r="X12" s="320"/>
      <c r="Y12" s="321"/>
      <c r="Z12" s="197"/>
      <c r="AA12" s="201"/>
      <c r="AB12" s="213"/>
    </row>
    <row r="13" spans="1:34" s="199" customFormat="1" ht="21" x14ac:dyDescent="0.2">
      <c r="A13" s="198" t="s">
        <v>68</v>
      </c>
      <c r="B13" s="199">
        <v>0.24</v>
      </c>
      <c r="C13" s="229">
        <v>0.24</v>
      </c>
      <c r="D13" s="199">
        <v>0.21</v>
      </c>
      <c r="E13" s="229">
        <v>0.21</v>
      </c>
      <c r="F13" s="199">
        <v>0.22500000000000001</v>
      </c>
      <c r="G13" s="229">
        <v>0.22500000000000001</v>
      </c>
      <c r="I13" s="229"/>
      <c r="J13" s="199">
        <v>0.01</v>
      </c>
      <c r="K13" s="229">
        <v>0.01</v>
      </c>
      <c r="L13" s="199">
        <v>1.4999999999999999E-2</v>
      </c>
      <c r="M13" s="229">
        <v>1.4999999999999999E-2</v>
      </c>
      <c r="N13" s="199">
        <v>0.01</v>
      </c>
      <c r="O13" s="229">
        <v>0.01</v>
      </c>
      <c r="P13" s="199">
        <v>0.05</v>
      </c>
      <c r="Q13" s="229">
        <v>0.05</v>
      </c>
      <c r="R13" s="199">
        <v>0.03</v>
      </c>
      <c r="S13" s="245">
        <v>0.03</v>
      </c>
      <c r="T13" s="199">
        <v>0.05</v>
      </c>
      <c r="U13" s="229">
        <v>0.05</v>
      </c>
      <c r="V13" s="413">
        <v>0.02</v>
      </c>
      <c r="W13" s="245">
        <v>0.02</v>
      </c>
      <c r="X13" s="413">
        <v>0.14000000000000001</v>
      </c>
      <c r="Y13" s="245">
        <v>0.14000000000000001</v>
      </c>
      <c r="Z13" s="413">
        <f>T13+R13+P13+N13+L13+J13+F13+D13+B13+H13+V13+X13</f>
        <v>1</v>
      </c>
      <c r="AA13" s="414">
        <f>U13+S13+Q13+O13+M13+K13+G13+E13+C13+I13</f>
        <v>0.84</v>
      </c>
      <c r="AB13" s="198" t="s">
        <v>68</v>
      </c>
    </row>
    <row r="14" spans="1:34" ht="51.5" customHeight="1" thickBot="1" x14ac:dyDescent="0.25">
      <c r="A14" s="213"/>
      <c r="B14" s="502" t="s">
        <v>100</v>
      </c>
      <c r="C14" s="511"/>
      <c r="D14" s="511" t="s">
        <v>101</v>
      </c>
      <c r="E14" s="511"/>
      <c r="F14" s="511" t="s">
        <v>102</v>
      </c>
      <c r="G14" s="511"/>
      <c r="H14" s="502" t="s">
        <v>104</v>
      </c>
      <c r="I14" s="503"/>
      <c r="J14" s="502" t="s">
        <v>99</v>
      </c>
      <c r="K14" s="503"/>
      <c r="L14" s="502" t="s">
        <v>105</v>
      </c>
      <c r="M14" s="503"/>
      <c r="N14" s="513" t="s">
        <v>103</v>
      </c>
      <c r="O14" s="503"/>
      <c r="P14" s="502" t="s">
        <v>98</v>
      </c>
      <c r="Q14" s="503"/>
      <c r="R14" s="502" t="s">
        <v>97</v>
      </c>
      <c r="S14" s="503"/>
      <c r="T14" s="502" t="s">
        <v>237</v>
      </c>
      <c r="U14" s="513"/>
      <c r="V14" s="502" t="s">
        <v>328</v>
      </c>
      <c r="W14" s="503"/>
      <c r="X14" s="502" t="s">
        <v>340</v>
      </c>
      <c r="Y14" s="503"/>
      <c r="Z14" s="512" t="s">
        <v>4</v>
      </c>
      <c r="AA14" s="512"/>
      <c r="AB14" s="213"/>
    </row>
    <row r="15" spans="1:34" ht="15.75" customHeight="1" x14ac:dyDescent="0.2">
      <c r="A15" s="214" t="s">
        <v>8</v>
      </c>
      <c r="B15" s="188" t="s">
        <v>347</v>
      </c>
      <c r="C15" s="226" t="s">
        <v>348</v>
      </c>
      <c r="D15" s="188" t="s">
        <v>347</v>
      </c>
      <c r="E15" s="226" t="s">
        <v>348</v>
      </c>
      <c r="F15" s="188" t="s">
        <v>347</v>
      </c>
      <c r="G15" s="226" t="s">
        <v>348</v>
      </c>
      <c r="H15" s="188" t="s">
        <v>347</v>
      </c>
      <c r="I15" s="226" t="s">
        <v>348</v>
      </c>
      <c r="J15" s="188" t="s">
        <v>347</v>
      </c>
      <c r="K15" s="226" t="s">
        <v>348</v>
      </c>
      <c r="L15" s="188" t="s">
        <v>347</v>
      </c>
      <c r="M15" s="226" t="s">
        <v>348</v>
      </c>
      <c r="N15" s="197" t="s">
        <v>347</v>
      </c>
      <c r="O15" s="226" t="s">
        <v>348</v>
      </c>
      <c r="P15" s="188" t="s">
        <v>347</v>
      </c>
      <c r="Q15" s="226" t="s">
        <v>348</v>
      </c>
      <c r="R15" s="188" t="s">
        <v>347</v>
      </c>
      <c r="S15" s="226" t="s">
        <v>348</v>
      </c>
      <c r="T15" s="188" t="s">
        <v>347</v>
      </c>
      <c r="U15" s="226" t="s">
        <v>348</v>
      </c>
      <c r="V15" s="197" t="s">
        <v>347</v>
      </c>
      <c r="W15" s="244" t="s">
        <v>348</v>
      </c>
      <c r="X15" s="324" t="s">
        <v>347</v>
      </c>
      <c r="Y15" s="407" t="s">
        <v>348</v>
      </c>
      <c r="Z15" s="324" t="s">
        <v>347</v>
      </c>
      <c r="AA15" s="182" t="s">
        <v>348</v>
      </c>
      <c r="AB15" s="214" t="s">
        <v>8</v>
      </c>
    </row>
    <row r="16" spans="1:34" ht="16" x14ac:dyDescent="0.2">
      <c r="A16" s="97" t="s">
        <v>89</v>
      </c>
      <c r="C16" s="223"/>
      <c r="E16" s="223"/>
      <c r="F16" s="345">
        <f>3000000</f>
        <v>3000000</v>
      </c>
      <c r="G16" s="223">
        <v>1237068</v>
      </c>
      <c r="H16" s="345">
        <v>2000000</v>
      </c>
      <c r="I16" s="223">
        <v>688309</v>
      </c>
      <c r="J16" s="2"/>
      <c r="K16" s="223">
        <v>0</v>
      </c>
      <c r="L16" s="1"/>
      <c r="M16" s="223"/>
      <c r="N16" s="1"/>
      <c r="O16" s="262"/>
      <c r="P16" s="1"/>
      <c r="Q16" s="223">
        <v>0</v>
      </c>
      <c r="R16" s="345">
        <f>30000*1.2</f>
        <v>36000</v>
      </c>
      <c r="S16" s="223">
        <v>27953</v>
      </c>
      <c r="T16" s="1"/>
      <c r="U16" s="241"/>
      <c r="V16" s="1"/>
      <c r="W16" s="223"/>
      <c r="X16" s="4"/>
      <c r="Y16" s="262"/>
      <c r="Z16" s="4">
        <f>B16+D16+F16+N16+H16+J16+L16+P16+T16+R16+V16+X16</f>
        <v>5036000</v>
      </c>
      <c r="AA16" s="1">
        <f>C16+E16+G16+O16+I16+K16+M16+Q16+S16+U16+W16+Y16</f>
        <v>1953330</v>
      </c>
      <c r="AB16" s="97" t="s">
        <v>89</v>
      </c>
    </row>
    <row r="17" spans="1:28" ht="16" x14ac:dyDescent="0.2">
      <c r="A17" s="97" t="s">
        <v>32</v>
      </c>
      <c r="C17" s="223"/>
      <c r="E17" s="223"/>
      <c r="G17" s="238"/>
      <c r="H17" s="345">
        <f>1000000*1.2</f>
        <v>1200000</v>
      </c>
      <c r="I17" s="223">
        <v>1131000</v>
      </c>
      <c r="J17" s="2"/>
      <c r="K17" s="223">
        <v>0</v>
      </c>
      <c r="L17" s="1"/>
      <c r="M17" s="223"/>
      <c r="N17" s="1"/>
      <c r="O17" s="263"/>
      <c r="P17" s="430"/>
      <c r="Q17" s="223">
        <v>0</v>
      </c>
      <c r="T17" s="1"/>
      <c r="U17" s="241"/>
      <c r="V17" s="1"/>
      <c r="W17" s="223"/>
      <c r="X17" s="4"/>
      <c r="Y17" s="262"/>
      <c r="Z17" s="4">
        <f t="shared" ref="Z17:Z80" si="4">B17+D17+F17+N17+H17+J17+L17+P17+T17+R17+V17+X17</f>
        <v>1200000</v>
      </c>
      <c r="AA17" s="1">
        <f t="shared" ref="AA17:AA80" si="5">C17+E17+G17+O17+I17+K17+M17+Q17+S17+U17+W17+Y17</f>
        <v>1131000</v>
      </c>
      <c r="AB17" s="97" t="s">
        <v>32</v>
      </c>
    </row>
    <row r="18" spans="1:28" ht="16" x14ac:dyDescent="0.2">
      <c r="A18" s="97" t="s">
        <v>27</v>
      </c>
      <c r="C18" s="223"/>
      <c r="E18" s="223"/>
      <c r="F18" s="345">
        <v>120000</v>
      </c>
      <c r="G18" s="223">
        <v>95368</v>
      </c>
      <c r="H18" s="345">
        <f>450000*1.2</f>
        <v>540000</v>
      </c>
      <c r="I18" s="223">
        <v>454552</v>
      </c>
      <c r="J18" s="2"/>
      <c r="K18" s="223">
        <v>0</v>
      </c>
      <c r="L18" s="1"/>
      <c r="M18" s="223"/>
      <c r="N18" s="1"/>
      <c r="O18" s="262"/>
      <c r="P18" s="1"/>
      <c r="Q18" s="223">
        <v>0</v>
      </c>
      <c r="T18" s="1"/>
      <c r="U18" s="241"/>
      <c r="V18" s="1"/>
      <c r="W18" s="223"/>
      <c r="X18" s="4"/>
      <c r="Y18" s="262"/>
      <c r="Z18" s="4">
        <f t="shared" si="4"/>
        <v>660000</v>
      </c>
      <c r="AA18" s="1">
        <f t="shared" si="5"/>
        <v>549920</v>
      </c>
      <c r="AB18" s="97" t="s">
        <v>27</v>
      </c>
    </row>
    <row r="19" spans="1:28" ht="16" x14ac:dyDescent="0.2">
      <c r="A19" s="97" t="s">
        <v>28</v>
      </c>
      <c r="C19" s="223"/>
      <c r="E19" s="223"/>
      <c r="G19" s="223"/>
      <c r="I19" s="223"/>
      <c r="J19" s="2"/>
      <c r="K19" s="223">
        <v>0</v>
      </c>
      <c r="L19" s="1"/>
      <c r="M19" s="223"/>
      <c r="N19" s="1"/>
      <c r="O19" s="262">
        <v>9144</v>
      </c>
      <c r="P19" s="1"/>
      <c r="Q19" s="223">
        <v>0</v>
      </c>
      <c r="T19" s="1"/>
      <c r="U19" s="241"/>
      <c r="V19" s="1"/>
      <c r="W19" s="223"/>
      <c r="X19" s="4"/>
      <c r="Y19" s="262"/>
      <c r="Z19" s="4">
        <f t="shared" si="4"/>
        <v>0</v>
      </c>
      <c r="AA19" s="1">
        <f t="shared" si="5"/>
        <v>9144</v>
      </c>
      <c r="AB19" s="97" t="s">
        <v>28</v>
      </c>
    </row>
    <row r="20" spans="1:28" ht="16" x14ac:dyDescent="0.2">
      <c r="A20" s="97" t="s">
        <v>29</v>
      </c>
      <c r="C20" s="223"/>
      <c r="E20" s="223"/>
      <c r="G20" s="223"/>
      <c r="H20" s="345">
        <f>450000*1.2</f>
        <v>540000</v>
      </c>
      <c r="I20" s="223">
        <v>332410</v>
      </c>
      <c r="J20" s="2"/>
      <c r="K20" s="223">
        <v>0</v>
      </c>
      <c r="L20" s="1"/>
      <c r="M20" s="223"/>
      <c r="N20" s="1"/>
      <c r="O20" s="262"/>
      <c r="P20" s="1"/>
      <c r="Q20" s="223">
        <v>0</v>
      </c>
      <c r="T20" s="1"/>
      <c r="U20" s="241"/>
      <c r="V20" s="1"/>
      <c r="W20" s="223"/>
      <c r="X20" s="4"/>
      <c r="Y20" s="262"/>
      <c r="Z20" s="4">
        <f t="shared" si="4"/>
        <v>540000</v>
      </c>
      <c r="AA20" s="1">
        <f t="shared" si="5"/>
        <v>332410</v>
      </c>
      <c r="AB20" s="97" t="s">
        <v>29</v>
      </c>
    </row>
    <row r="21" spans="1:28" ht="15.5" customHeight="1" x14ac:dyDescent="0.2">
      <c r="A21" s="97" t="s">
        <v>78</v>
      </c>
      <c r="B21" s="3">
        <v>0</v>
      </c>
      <c r="C21" s="223"/>
      <c r="D21" s="3">
        <v>0</v>
      </c>
      <c r="E21" s="223"/>
      <c r="G21" s="223"/>
      <c r="I21" s="223"/>
      <c r="J21" s="2"/>
      <c r="K21" s="223"/>
      <c r="L21" s="1"/>
      <c r="M21" s="223"/>
      <c r="N21" s="1"/>
      <c r="O21" s="262"/>
      <c r="P21" s="1"/>
      <c r="Q21" s="223"/>
      <c r="T21" s="1"/>
      <c r="U21" s="241"/>
      <c r="V21" s="1"/>
      <c r="W21" s="223"/>
      <c r="X21" s="4"/>
      <c r="Y21" s="262"/>
      <c r="Z21" s="4">
        <f t="shared" si="4"/>
        <v>0</v>
      </c>
      <c r="AA21" s="1">
        <f t="shared" si="5"/>
        <v>0</v>
      </c>
      <c r="AB21" s="97" t="s">
        <v>78</v>
      </c>
    </row>
    <row r="22" spans="1:28" ht="15.5" customHeight="1" x14ac:dyDescent="0.2">
      <c r="A22" s="97" t="s">
        <v>227</v>
      </c>
      <c r="C22" s="223"/>
      <c r="E22" s="223"/>
      <c r="F22" s="345">
        <v>400000</v>
      </c>
      <c r="G22" s="223"/>
      <c r="I22" s="223"/>
      <c r="J22" s="2"/>
      <c r="K22" s="223"/>
      <c r="L22" s="1"/>
      <c r="M22" s="223"/>
      <c r="N22" s="1"/>
      <c r="O22" s="262"/>
      <c r="P22" s="1"/>
      <c r="Q22" s="223"/>
      <c r="T22" s="1"/>
      <c r="U22" s="241"/>
      <c r="V22" s="1"/>
      <c r="W22" s="223"/>
      <c r="X22" s="4"/>
      <c r="Y22" s="262"/>
      <c r="Z22" s="4">
        <f t="shared" si="4"/>
        <v>400000</v>
      </c>
      <c r="AA22" s="1">
        <f t="shared" si="5"/>
        <v>0</v>
      </c>
      <c r="AB22" s="97" t="s">
        <v>227</v>
      </c>
    </row>
    <row r="23" spans="1:28" ht="15.75" customHeight="1" x14ac:dyDescent="0.2">
      <c r="A23" s="336" t="s">
        <v>119</v>
      </c>
      <c r="B23" s="182"/>
      <c r="C23" s="230"/>
      <c r="D23" s="182"/>
      <c r="E23" s="230"/>
      <c r="F23" s="429"/>
      <c r="G23" s="230"/>
      <c r="H23" s="182"/>
      <c r="I23" s="230"/>
      <c r="J23" s="200"/>
      <c r="K23" s="246"/>
      <c r="L23" s="201"/>
      <c r="M23" s="230"/>
      <c r="N23" s="201"/>
      <c r="O23" s="261"/>
      <c r="P23" s="182"/>
      <c r="Q23" s="240"/>
      <c r="R23" s="200"/>
      <c r="S23" s="246"/>
      <c r="T23" s="200"/>
      <c r="U23" s="391"/>
      <c r="V23" s="201"/>
      <c r="W23" s="246"/>
      <c r="X23" s="416"/>
      <c r="Y23" s="409"/>
      <c r="Z23" s="4">
        <f t="shared" si="4"/>
        <v>0</v>
      </c>
      <c r="AA23" s="1">
        <f t="shared" si="5"/>
        <v>0</v>
      </c>
      <c r="AB23" s="336" t="s">
        <v>119</v>
      </c>
    </row>
    <row r="24" spans="1:28" ht="15.5" customHeight="1" x14ac:dyDescent="0.2">
      <c r="A24" s="97" t="s">
        <v>122</v>
      </c>
      <c r="C24" s="223"/>
      <c r="D24" s="345">
        <f>Konyha!C22</f>
        <v>749504.02290622762</v>
      </c>
      <c r="E24" s="223">
        <v>436623</v>
      </c>
      <c r="G24" s="223"/>
      <c r="I24" s="223"/>
      <c r="J24" s="2"/>
      <c r="K24" s="223"/>
      <c r="L24" s="1"/>
      <c r="M24" s="223"/>
      <c r="N24" s="1"/>
      <c r="O24" s="262"/>
      <c r="P24" s="1"/>
      <c r="Q24" s="223"/>
      <c r="T24" s="1"/>
      <c r="U24" s="241"/>
      <c r="V24" s="1"/>
      <c r="W24" s="223"/>
      <c r="X24" s="4"/>
      <c r="Y24" s="262"/>
      <c r="Z24" s="4">
        <f t="shared" si="4"/>
        <v>749504.02290622762</v>
      </c>
      <c r="AA24" s="1">
        <f t="shared" si="5"/>
        <v>436623</v>
      </c>
      <c r="AB24" s="97" t="s">
        <v>122</v>
      </c>
    </row>
    <row r="25" spans="1:28" ht="15.5" customHeight="1" x14ac:dyDescent="0.2">
      <c r="A25" s="97" t="s">
        <v>285</v>
      </c>
      <c r="C25" s="223"/>
      <c r="D25" s="345">
        <f>Konyha!B22</f>
        <v>727580.35790980665</v>
      </c>
      <c r="E25" s="223">
        <v>428348</v>
      </c>
      <c r="G25" s="223"/>
      <c r="I25" s="223"/>
      <c r="J25" s="2"/>
      <c r="K25" s="223"/>
      <c r="L25" s="1"/>
      <c r="M25" s="223"/>
      <c r="N25" s="1"/>
      <c r="O25" s="262"/>
      <c r="P25" s="1"/>
      <c r="Q25" s="223"/>
      <c r="T25" s="1"/>
      <c r="U25" s="241"/>
      <c r="V25" s="1"/>
      <c r="W25" s="223"/>
      <c r="X25" s="4"/>
      <c r="Y25" s="262"/>
      <c r="Z25" s="4">
        <f t="shared" si="4"/>
        <v>727580.35790980665</v>
      </c>
      <c r="AA25" s="1">
        <f t="shared" si="5"/>
        <v>428348</v>
      </c>
      <c r="AB25" s="97" t="s">
        <v>285</v>
      </c>
    </row>
    <row r="26" spans="1:28" ht="16" x14ac:dyDescent="0.2">
      <c r="A26" s="97" t="s">
        <v>79</v>
      </c>
      <c r="C26" s="223"/>
      <c r="D26" s="345">
        <v>80000</v>
      </c>
      <c r="E26" s="223"/>
      <c r="G26" s="223"/>
      <c r="I26" s="223"/>
      <c r="J26" s="2"/>
      <c r="K26" s="223">
        <v>0</v>
      </c>
      <c r="L26" s="1"/>
      <c r="M26" s="223"/>
      <c r="N26" s="1"/>
      <c r="O26" s="262"/>
      <c r="P26" s="1"/>
      <c r="Q26" s="223">
        <v>0</v>
      </c>
      <c r="T26" s="1"/>
      <c r="U26" s="241"/>
      <c r="V26" s="1"/>
      <c r="W26" s="223"/>
      <c r="X26" s="4"/>
      <c r="Y26" s="262"/>
      <c r="Z26" s="4">
        <f t="shared" si="4"/>
        <v>80000</v>
      </c>
      <c r="AA26" s="1">
        <f t="shared" si="5"/>
        <v>0</v>
      </c>
      <c r="AB26" s="97" t="s">
        <v>79</v>
      </c>
    </row>
    <row r="27" spans="1:28" ht="16" x14ac:dyDescent="0.2">
      <c r="A27" s="97" t="s">
        <v>123</v>
      </c>
      <c r="B27" s="345">
        <v>500000</v>
      </c>
      <c r="C27" s="223">
        <v>384614</v>
      </c>
      <c r="D27" s="345">
        <v>550000</v>
      </c>
      <c r="E27" s="223">
        <v>569023</v>
      </c>
      <c r="F27" s="345">
        <v>600000</v>
      </c>
      <c r="G27" s="223">
        <v>517040</v>
      </c>
      <c r="I27" s="223"/>
      <c r="J27" s="2"/>
      <c r="K27" s="223">
        <v>0</v>
      </c>
      <c r="L27" s="1"/>
      <c r="M27" s="223"/>
      <c r="N27" s="1"/>
      <c r="O27" s="262"/>
      <c r="P27" s="1"/>
      <c r="Q27" s="223">
        <v>0</v>
      </c>
      <c r="T27" s="1"/>
      <c r="U27" s="241"/>
      <c r="V27" s="1"/>
      <c r="W27" s="223"/>
      <c r="X27" s="4"/>
      <c r="Y27" s="262"/>
      <c r="Z27" s="4">
        <f t="shared" si="4"/>
        <v>1650000</v>
      </c>
      <c r="AA27" s="1">
        <f t="shared" si="5"/>
        <v>1470677</v>
      </c>
      <c r="AB27" s="97" t="s">
        <v>123</v>
      </c>
    </row>
    <row r="28" spans="1:28" ht="16" x14ac:dyDescent="0.2">
      <c r="A28" s="97" t="s">
        <v>21</v>
      </c>
      <c r="B28" s="345">
        <v>60000</v>
      </c>
      <c r="C28" s="223">
        <v>25490</v>
      </c>
      <c r="D28" s="345">
        <v>950000</v>
      </c>
      <c r="E28" s="223">
        <v>769871</v>
      </c>
      <c r="F28" s="345">
        <v>50000</v>
      </c>
      <c r="G28" s="223">
        <v>9882</v>
      </c>
      <c r="H28" s="345">
        <v>25000</v>
      </c>
      <c r="I28" s="223">
        <v>8748</v>
      </c>
      <c r="J28" s="2"/>
      <c r="K28" s="223">
        <v>0</v>
      </c>
      <c r="L28" s="1"/>
      <c r="M28" s="223"/>
      <c r="N28" s="1"/>
      <c r="O28" s="262"/>
      <c r="P28" s="1"/>
      <c r="Q28" s="223">
        <v>0</v>
      </c>
      <c r="R28" s="3">
        <v>0</v>
      </c>
      <c r="T28" s="346">
        <v>20000</v>
      </c>
      <c r="U28" s="241"/>
      <c r="V28" s="1"/>
      <c r="W28" s="223"/>
      <c r="X28" s="4"/>
      <c r="Y28" s="262"/>
      <c r="Z28" s="4">
        <f t="shared" si="4"/>
        <v>1105000</v>
      </c>
      <c r="AA28" s="1">
        <f t="shared" si="5"/>
        <v>813991</v>
      </c>
      <c r="AB28" s="97" t="s">
        <v>21</v>
      </c>
    </row>
    <row r="29" spans="1:28" ht="64" x14ac:dyDescent="0.2">
      <c r="A29" s="97" t="s">
        <v>294</v>
      </c>
      <c r="B29" s="345">
        <f>25000+75000</f>
        <v>100000</v>
      </c>
      <c r="C29" s="223">
        <v>54047</v>
      </c>
      <c r="D29" s="345">
        <v>50000</v>
      </c>
      <c r="E29" s="223"/>
      <c r="F29" s="345">
        <v>100000</v>
      </c>
      <c r="G29" s="223">
        <v>58288</v>
      </c>
      <c r="H29" s="345">
        <v>100000</v>
      </c>
      <c r="I29" s="223">
        <v>27206</v>
      </c>
      <c r="J29" s="2"/>
      <c r="K29" s="223">
        <v>0</v>
      </c>
      <c r="L29" s="1"/>
      <c r="M29" s="223"/>
      <c r="N29" s="1"/>
      <c r="O29" s="262">
        <v>188000</v>
      </c>
      <c r="P29" s="1">
        <v>0</v>
      </c>
      <c r="Q29" s="223"/>
      <c r="R29" s="3">
        <v>0</v>
      </c>
      <c r="T29" s="1"/>
      <c r="U29" s="241"/>
      <c r="V29" s="1"/>
      <c r="W29" s="223"/>
      <c r="X29" s="427">
        <v>500000</v>
      </c>
      <c r="Y29" s="262">
        <v>98700</v>
      </c>
      <c r="Z29" s="4">
        <f t="shared" si="4"/>
        <v>850000</v>
      </c>
      <c r="AA29" s="1">
        <f t="shared" si="5"/>
        <v>426241</v>
      </c>
      <c r="AB29" s="97" t="s">
        <v>294</v>
      </c>
    </row>
    <row r="30" spans="1:28" ht="16" x14ac:dyDescent="0.2">
      <c r="A30" s="97" t="s">
        <v>11</v>
      </c>
      <c r="B30" s="345">
        <f>11000000*1.1</f>
        <v>12100000.000000002</v>
      </c>
      <c r="C30" s="223">
        <v>6514993</v>
      </c>
      <c r="D30" s="345">
        <f>B30*0.09</f>
        <v>1089000.0000000002</v>
      </c>
      <c r="E30" s="223">
        <v>643820</v>
      </c>
      <c r="G30" s="223"/>
      <c r="I30" s="223"/>
      <c r="J30" s="2"/>
      <c r="K30" s="223">
        <v>0</v>
      </c>
      <c r="L30" s="1"/>
      <c r="M30" s="223"/>
      <c r="N30" s="1"/>
      <c r="O30" s="262">
        <v>1414105</v>
      </c>
      <c r="P30" s="1"/>
      <c r="Q30" s="223">
        <v>0</v>
      </c>
      <c r="T30" s="1"/>
      <c r="U30" s="241"/>
      <c r="V30" s="1"/>
      <c r="W30" s="223"/>
      <c r="X30" s="4"/>
      <c r="Y30" s="262"/>
      <c r="Z30" s="4">
        <f t="shared" si="4"/>
        <v>13189000.000000002</v>
      </c>
      <c r="AA30" s="1">
        <f t="shared" si="5"/>
        <v>8572918</v>
      </c>
      <c r="AB30" s="97" t="s">
        <v>11</v>
      </c>
    </row>
    <row r="31" spans="1:28" ht="16" x14ac:dyDescent="0.2">
      <c r="A31" s="97" t="s">
        <v>117</v>
      </c>
      <c r="C31" s="223">
        <v>16800</v>
      </c>
      <c r="E31" s="223"/>
      <c r="G31" s="223"/>
      <c r="I31" s="223"/>
      <c r="J31" s="2"/>
      <c r="K31" s="223"/>
      <c r="L31" s="1"/>
      <c r="M31" s="223"/>
      <c r="N31" s="1"/>
      <c r="O31" s="262"/>
      <c r="P31" s="1"/>
      <c r="Q31" s="223"/>
      <c r="T31" s="1"/>
      <c r="U31" s="241"/>
      <c r="V31" s="1"/>
      <c r="W31" s="223"/>
      <c r="X31" s="4"/>
      <c r="Y31" s="262"/>
      <c r="Z31" s="4">
        <f t="shared" si="4"/>
        <v>0</v>
      </c>
      <c r="AA31" s="1">
        <f t="shared" si="5"/>
        <v>16800</v>
      </c>
      <c r="AB31" s="97" t="s">
        <v>117</v>
      </c>
    </row>
    <row r="32" spans="1:28" ht="16" x14ac:dyDescent="0.2">
      <c r="A32" s="97" t="s">
        <v>118</v>
      </c>
      <c r="C32" s="223"/>
      <c r="D32" s="345">
        <f>Konyha!J23</f>
        <v>35044140.727272727</v>
      </c>
      <c r="E32" s="223">
        <v>26114636</v>
      </c>
      <c r="G32" s="223"/>
      <c r="I32" s="223"/>
      <c r="J32" s="2"/>
      <c r="K32" s="223">
        <v>0</v>
      </c>
      <c r="L32" s="1"/>
      <c r="M32" s="223"/>
      <c r="N32" s="1"/>
      <c r="O32" s="262"/>
      <c r="P32" s="1"/>
      <c r="Q32" s="223">
        <v>0</v>
      </c>
      <c r="T32" s="1"/>
      <c r="U32" s="241"/>
      <c r="V32" s="1"/>
      <c r="W32" s="223"/>
      <c r="X32" s="4"/>
      <c r="Y32" s="262"/>
      <c r="Z32" s="4">
        <f t="shared" si="4"/>
        <v>35044140.727272727</v>
      </c>
      <c r="AA32" s="1">
        <f t="shared" si="5"/>
        <v>26114636</v>
      </c>
      <c r="AB32" s="97" t="s">
        <v>118</v>
      </c>
    </row>
    <row r="33" spans="1:28" ht="16" x14ac:dyDescent="0.2">
      <c r="A33" s="97" t="s">
        <v>361</v>
      </c>
      <c r="C33" s="223"/>
      <c r="D33" s="345">
        <v>1250880</v>
      </c>
      <c r="E33" s="223"/>
      <c r="G33" s="223"/>
      <c r="I33" s="223"/>
      <c r="J33" s="2"/>
      <c r="K33" s="223"/>
      <c r="L33" s="1"/>
      <c r="M33" s="223"/>
      <c r="N33" s="1"/>
      <c r="O33" s="262"/>
      <c r="P33" s="1"/>
      <c r="Q33" s="223"/>
      <c r="T33" s="1"/>
      <c r="U33" s="241"/>
      <c r="V33" s="1"/>
      <c r="W33" s="223"/>
      <c r="X33" s="4"/>
      <c r="Y33" s="262"/>
      <c r="Z33" s="4">
        <f t="shared" si="4"/>
        <v>1250880</v>
      </c>
      <c r="AA33" s="1">
        <f t="shared" si="5"/>
        <v>0</v>
      </c>
      <c r="AB33" s="97" t="s">
        <v>361</v>
      </c>
    </row>
    <row r="34" spans="1:28" ht="16" x14ac:dyDescent="0.2">
      <c r="A34" s="97" t="s">
        <v>282</v>
      </c>
      <c r="C34" s="223"/>
      <c r="E34" s="223"/>
      <c r="F34" s="345">
        <v>150000</v>
      </c>
      <c r="G34" s="223">
        <v>108121</v>
      </c>
      <c r="I34" s="223"/>
      <c r="J34" s="2"/>
      <c r="K34" s="223"/>
      <c r="L34" s="1"/>
      <c r="M34" s="223"/>
      <c r="N34" s="1"/>
      <c r="O34" s="262"/>
      <c r="P34" s="1"/>
      <c r="Q34" s="223"/>
      <c r="T34" s="1"/>
      <c r="U34" s="241"/>
      <c r="V34" s="1"/>
      <c r="W34" s="223"/>
      <c r="X34" s="4"/>
      <c r="Y34" s="262"/>
      <c r="Z34" s="4">
        <f t="shared" si="4"/>
        <v>150000</v>
      </c>
      <c r="AA34" s="1">
        <f t="shared" si="5"/>
        <v>108121</v>
      </c>
      <c r="AB34" s="97" t="s">
        <v>282</v>
      </c>
    </row>
    <row r="35" spans="1:28" ht="16" x14ac:dyDescent="0.2">
      <c r="A35" s="97" t="s">
        <v>44</v>
      </c>
      <c r="C35" s="223"/>
      <c r="E35" s="223"/>
      <c r="G35" s="223"/>
      <c r="H35" s="345">
        <v>750000</v>
      </c>
      <c r="I35" s="223"/>
      <c r="J35" s="2"/>
      <c r="K35" s="223">
        <v>0</v>
      </c>
      <c r="L35" s="1"/>
      <c r="M35" s="223"/>
      <c r="N35" s="1"/>
      <c r="O35" s="262"/>
      <c r="P35" s="1"/>
      <c r="Q35" s="223">
        <v>0</v>
      </c>
      <c r="T35" s="1"/>
      <c r="U35" s="241"/>
      <c r="V35" s="1"/>
      <c r="W35" s="223"/>
      <c r="X35" s="4"/>
      <c r="Y35" s="262"/>
      <c r="Z35" s="4">
        <f t="shared" si="4"/>
        <v>750000</v>
      </c>
      <c r="AA35" s="1">
        <f>C35+E35+G35+O35+I35+K35+M35+Q35+S35+U35+W35+Y35</f>
        <v>0</v>
      </c>
      <c r="AB35" s="97" t="s">
        <v>44</v>
      </c>
    </row>
    <row r="36" spans="1:28" ht="16" x14ac:dyDescent="0.2">
      <c r="A36" s="97" t="s">
        <v>306</v>
      </c>
      <c r="C36" s="223"/>
      <c r="D36" s="345">
        <v>317100</v>
      </c>
      <c r="E36" s="223">
        <v>198000</v>
      </c>
      <c r="G36" s="223"/>
      <c r="I36" s="223"/>
      <c r="J36" s="2"/>
      <c r="K36" s="223"/>
      <c r="L36" s="1"/>
      <c r="M36" s="223"/>
      <c r="N36" s="1"/>
      <c r="O36" s="262"/>
      <c r="P36" s="1"/>
      <c r="Q36" s="223"/>
      <c r="T36" s="1"/>
      <c r="U36" s="241"/>
      <c r="V36" s="1"/>
      <c r="W36" s="223"/>
      <c r="X36" s="4"/>
      <c r="Y36" s="262"/>
      <c r="Z36" s="4">
        <f t="shared" si="4"/>
        <v>317100</v>
      </c>
      <c r="AA36" s="1">
        <f t="shared" si="5"/>
        <v>198000</v>
      </c>
      <c r="AB36" s="97" t="s">
        <v>121</v>
      </c>
    </row>
    <row r="37" spans="1:28" ht="16" x14ac:dyDescent="0.2">
      <c r="A37" s="97" t="s">
        <v>15</v>
      </c>
      <c r="C37" s="223"/>
      <c r="D37" s="345">
        <f>Konyha!G22</f>
        <v>23467046.456692912</v>
      </c>
      <c r="E37" s="223">
        <v>17643265</v>
      </c>
      <c r="G37" s="223"/>
      <c r="I37" s="223"/>
      <c r="J37" s="2"/>
      <c r="K37" s="223">
        <v>0</v>
      </c>
      <c r="L37" s="1"/>
      <c r="M37" s="223"/>
      <c r="N37" s="1"/>
      <c r="O37" s="262"/>
      <c r="P37" s="1"/>
      <c r="Q37" s="223">
        <v>0</v>
      </c>
      <c r="T37" s="1"/>
      <c r="U37" s="241"/>
      <c r="V37" s="1"/>
      <c r="W37" s="223"/>
      <c r="X37" s="4"/>
      <c r="Y37" s="262"/>
      <c r="Z37" s="4">
        <f t="shared" si="4"/>
        <v>23467046.456692912</v>
      </c>
      <c r="AA37" s="1">
        <f t="shared" si="5"/>
        <v>17643265</v>
      </c>
      <c r="AB37" s="97" t="s">
        <v>15</v>
      </c>
    </row>
    <row r="38" spans="1:28" ht="16" x14ac:dyDescent="0.2">
      <c r="A38" s="97" t="s">
        <v>10</v>
      </c>
      <c r="B38" s="345">
        <f>6500000*10-10000000</f>
        <v>55000000</v>
      </c>
      <c r="C38" s="223">
        <v>27015220</v>
      </c>
      <c r="D38" s="345">
        <f>B38*0.09</f>
        <v>4950000</v>
      </c>
      <c r="E38" s="223">
        <v>2770735</v>
      </c>
      <c r="G38" s="223"/>
      <c r="I38" s="223"/>
      <c r="J38" s="2"/>
      <c r="K38" s="223">
        <v>0</v>
      </c>
      <c r="L38" s="1"/>
      <c r="M38" s="223"/>
      <c r="N38" s="1"/>
      <c r="O38" s="262">
        <v>313908</v>
      </c>
      <c r="P38" s="1"/>
      <c r="Q38" s="223">
        <v>0</v>
      </c>
      <c r="T38" s="1"/>
      <c r="U38" s="241"/>
      <c r="V38" s="1"/>
      <c r="W38" s="223"/>
      <c r="X38" s="4"/>
      <c r="Y38" s="262"/>
      <c r="Z38" s="4">
        <f t="shared" si="4"/>
        <v>59950000</v>
      </c>
      <c r="AA38" s="1">
        <f t="shared" si="5"/>
        <v>30099863</v>
      </c>
      <c r="AB38" s="97" t="s">
        <v>10</v>
      </c>
    </row>
    <row r="39" spans="1:28" ht="16" x14ac:dyDescent="0.2">
      <c r="A39" s="97" t="s">
        <v>228</v>
      </c>
      <c r="B39" s="3">
        <v>0</v>
      </c>
      <c r="C39" s="223"/>
      <c r="E39" s="223"/>
      <c r="G39" s="223"/>
      <c r="I39" s="223"/>
      <c r="J39" s="2"/>
      <c r="K39" s="223"/>
      <c r="L39" s="1"/>
      <c r="M39" s="223"/>
      <c r="N39" s="1"/>
      <c r="O39" s="262"/>
      <c r="P39" s="1"/>
      <c r="Q39" s="223"/>
      <c r="T39" s="1"/>
      <c r="U39" s="241"/>
      <c r="V39" s="1"/>
      <c r="W39" s="223"/>
      <c r="X39" s="4"/>
      <c r="Y39" s="262"/>
      <c r="Z39" s="4">
        <f t="shared" si="4"/>
        <v>0</v>
      </c>
      <c r="AA39" s="1">
        <f t="shared" si="5"/>
        <v>0</v>
      </c>
      <c r="AB39" s="97" t="s">
        <v>228</v>
      </c>
    </row>
    <row r="40" spans="1:28" ht="16" x14ac:dyDescent="0.2">
      <c r="A40" s="97" t="s">
        <v>41</v>
      </c>
      <c r="B40" s="345">
        <v>500000</v>
      </c>
      <c r="C40" s="223"/>
      <c r="D40" s="345">
        <f>100000*1.2</f>
        <v>120000</v>
      </c>
      <c r="E40" s="223"/>
      <c r="G40" s="223"/>
      <c r="I40" s="223"/>
      <c r="J40" s="2"/>
      <c r="K40" s="223">
        <v>0</v>
      </c>
      <c r="L40" s="1"/>
      <c r="M40" s="223"/>
      <c r="N40" s="1"/>
      <c r="O40" s="262"/>
      <c r="P40" s="1"/>
      <c r="Q40" s="223">
        <v>0</v>
      </c>
      <c r="T40" s="1"/>
      <c r="U40" s="241"/>
      <c r="V40" s="1"/>
      <c r="W40" s="223"/>
      <c r="X40" s="4"/>
      <c r="Y40" s="262"/>
      <c r="Z40" s="4">
        <f t="shared" si="4"/>
        <v>620000</v>
      </c>
      <c r="AA40" s="1">
        <f t="shared" si="5"/>
        <v>0</v>
      </c>
      <c r="AB40" s="97" t="s">
        <v>41</v>
      </c>
    </row>
    <row r="41" spans="1:28" ht="16" x14ac:dyDescent="0.2">
      <c r="A41" s="97" t="s">
        <v>14</v>
      </c>
      <c r="C41" s="223"/>
      <c r="E41" s="223"/>
      <c r="G41" s="223"/>
      <c r="H41" s="345">
        <v>3400000</v>
      </c>
      <c r="I41" s="223">
        <v>2880000</v>
      </c>
      <c r="J41" s="2"/>
      <c r="K41" s="223">
        <v>0</v>
      </c>
      <c r="L41" s="1"/>
      <c r="M41" s="223"/>
      <c r="N41" s="1"/>
      <c r="O41" s="262"/>
      <c r="P41" s="1"/>
      <c r="Q41" s="223">
        <v>0</v>
      </c>
      <c r="T41" s="1"/>
      <c r="U41" s="241"/>
      <c r="V41" s="1"/>
      <c r="W41" s="223"/>
      <c r="X41" s="4"/>
      <c r="Y41" s="262"/>
      <c r="Z41" s="4">
        <f t="shared" si="4"/>
        <v>3400000</v>
      </c>
      <c r="AA41" s="1">
        <f t="shared" si="5"/>
        <v>2880000</v>
      </c>
      <c r="AB41" s="97" t="s">
        <v>14</v>
      </c>
    </row>
    <row r="42" spans="1:28" ht="16" x14ac:dyDescent="0.2">
      <c r="A42" s="97" t="s">
        <v>77</v>
      </c>
      <c r="B42" s="345">
        <f>500000</f>
        <v>500000</v>
      </c>
      <c r="C42" s="223">
        <v>300000</v>
      </c>
      <c r="D42" s="345">
        <v>100000</v>
      </c>
      <c r="E42" s="223"/>
      <c r="G42" s="223"/>
      <c r="I42" s="223"/>
      <c r="J42" s="2"/>
      <c r="K42" s="223">
        <v>0</v>
      </c>
      <c r="L42" s="1"/>
      <c r="M42" s="223"/>
      <c r="N42" s="1"/>
      <c r="O42" s="262"/>
      <c r="P42" s="1"/>
      <c r="Q42" s="223">
        <v>0</v>
      </c>
      <c r="T42" s="1"/>
      <c r="U42" s="241"/>
      <c r="V42" s="1"/>
      <c r="W42" s="223"/>
      <c r="X42" s="4"/>
      <c r="Y42" s="262"/>
      <c r="Z42" s="4">
        <f t="shared" si="4"/>
        <v>600000</v>
      </c>
      <c r="AA42" s="1">
        <f t="shared" si="5"/>
        <v>300000</v>
      </c>
      <c r="AB42" s="97" t="s">
        <v>77</v>
      </c>
    </row>
    <row r="43" spans="1:28" ht="16" x14ac:dyDescent="0.2">
      <c r="A43" s="97" t="s">
        <v>16</v>
      </c>
      <c r="C43" s="223"/>
      <c r="E43" s="223"/>
      <c r="G43" s="223"/>
      <c r="H43" s="345">
        <v>300000</v>
      </c>
      <c r="I43" s="223">
        <v>121092</v>
      </c>
      <c r="J43" s="2"/>
      <c r="K43" s="223">
        <v>0</v>
      </c>
      <c r="L43" s="1"/>
      <c r="M43" s="223"/>
      <c r="N43" s="1"/>
      <c r="O43" s="262"/>
      <c r="P43" s="1"/>
      <c r="Q43" s="223">
        <v>0</v>
      </c>
      <c r="T43" s="1"/>
      <c r="U43" s="241"/>
      <c r="V43" s="1"/>
      <c r="W43" s="223"/>
      <c r="X43" s="4"/>
      <c r="Y43" s="262"/>
      <c r="Z43" s="4">
        <f t="shared" si="4"/>
        <v>300000</v>
      </c>
      <c r="AA43" s="1">
        <f t="shared" si="5"/>
        <v>121092</v>
      </c>
      <c r="AB43" s="97" t="s">
        <v>16</v>
      </c>
    </row>
    <row r="44" spans="1:28" ht="16" x14ac:dyDescent="0.2">
      <c r="A44" s="97" t="s">
        <v>18</v>
      </c>
      <c r="C44" s="223"/>
      <c r="E44" s="223"/>
      <c r="F44" s="345">
        <v>2600000</v>
      </c>
      <c r="G44" s="223">
        <v>2127022</v>
      </c>
      <c r="H44" s="345">
        <v>3000000</v>
      </c>
      <c r="I44" s="223">
        <v>2213253</v>
      </c>
      <c r="J44" s="2"/>
      <c r="K44" s="223">
        <v>0</v>
      </c>
      <c r="L44" s="1"/>
      <c r="M44" s="223"/>
      <c r="N44" s="1"/>
      <c r="O44" s="262"/>
      <c r="P44" s="1"/>
      <c r="Q44" s="223">
        <v>0</v>
      </c>
      <c r="R44" s="345">
        <v>60000</v>
      </c>
      <c r="S44" s="223">
        <v>17696</v>
      </c>
      <c r="T44" s="1"/>
      <c r="U44" s="241"/>
      <c r="V44" s="346">
        <v>50000</v>
      </c>
      <c r="W44" s="223">
        <v>16667</v>
      </c>
      <c r="X44" s="4"/>
      <c r="Y44" s="262"/>
      <c r="Z44" s="4">
        <f t="shared" si="4"/>
        <v>5710000</v>
      </c>
      <c r="AA44" s="1">
        <f t="shared" si="5"/>
        <v>4374638</v>
      </c>
      <c r="AB44" s="97" t="s">
        <v>18</v>
      </c>
    </row>
    <row r="45" spans="1:28" ht="16" x14ac:dyDescent="0.2">
      <c r="A45" s="97" t="s">
        <v>20</v>
      </c>
      <c r="B45" s="345">
        <f>2200000+300000</f>
        <v>2500000</v>
      </c>
      <c r="C45" s="223">
        <v>1923000</v>
      </c>
      <c r="D45" s="345">
        <v>1500000</v>
      </c>
      <c r="E45" s="223">
        <v>1302549</v>
      </c>
      <c r="F45" s="441">
        <v>30000</v>
      </c>
      <c r="G45" s="223">
        <v>77009</v>
      </c>
      <c r="H45" s="345">
        <v>30000</v>
      </c>
      <c r="I45" s="223">
        <v>15269</v>
      </c>
      <c r="J45" s="2"/>
      <c r="K45" s="223">
        <v>0</v>
      </c>
      <c r="L45" s="1"/>
      <c r="M45" s="223"/>
      <c r="N45" s="1"/>
      <c r="O45" s="262"/>
      <c r="P45" s="1"/>
      <c r="Q45" s="223">
        <v>0</v>
      </c>
      <c r="T45" s="345">
        <v>250000</v>
      </c>
      <c r="U45" s="241">
        <v>195824</v>
      </c>
      <c r="V45" s="1"/>
      <c r="W45" s="223"/>
      <c r="X45" s="427">
        <v>200000</v>
      </c>
      <c r="Y45" s="262"/>
      <c r="Z45" s="4">
        <f t="shared" si="4"/>
        <v>4510000</v>
      </c>
      <c r="AA45" s="1">
        <f t="shared" si="5"/>
        <v>3513651</v>
      </c>
      <c r="AB45" s="97" t="s">
        <v>20</v>
      </c>
    </row>
    <row r="46" spans="1:28" ht="16" x14ac:dyDescent="0.2">
      <c r="A46" s="97" t="s">
        <v>329</v>
      </c>
      <c r="C46" s="223"/>
      <c r="E46" s="223"/>
      <c r="F46" s="211"/>
      <c r="G46" s="223"/>
      <c r="I46" s="223"/>
      <c r="K46" s="223"/>
      <c r="L46" s="1"/>
      <c r="M46" s="223"/>
      <c r="N46" s="1"/>
      <c r="O46" s="262"/>
      <c r="P46" s="1"/>
      <c r="Q46" s="223"/>
      <c r="S46" s="223">
        <v>31005</v>
      </c>
      <c r="U46" s="241"/>
      <c r="V46" s="1"/>
      <c r="W46" s="223"/>
      <c r="X46" s="4"/>
      <c r="Y46" s="262"/>
      <c r="Z46" s="4">
        <f t="shared" si="4"/>
        <v>0</v>
      </c>
      <c r="AA46" s="1">
        <f t="shared" si="5"/>
        <v>31005</v>
      </c>
      <c r="AB46" s="97" t="s">
        <v>290</v>
      </c>
    </row>
    <row r="47" spans="1:28" ht="32" x14ac:dyDescent="0.2">
      <c r="A47" s="97" t="s">
        <v>331</v>
      </c>
      <c r="C47" s="223"/>
      <c r="E47" s="223"/>
      <c r="F47" s="345">
        <f>1200000-400000</f>
        <v>800000</v>
      </c>
      <c r="G47" s="223"/>
      <c r="I47" s="223"/>
      <c r="J47" s="345">
        <v>300000</v>
      </c>
      <c r="K47" s="223">
        <v>250800</v>
      </c>
      <c r="L47" s="1"/>
      <c r="M47" s="223"/>
      <c r="N47" s="1"/>
      <c r="O47" s="262"/>
      <c r="P47" s="1"/>
      <c r="Q47" s="223">
        <v>0</v>
      </c>
      <c r="T47" s="1"/>
      <c r="U47" s="241"/>
      <c r="V47" s="1"/>
      <c r="W47" s="223"/>
      <c r="X47" s="4"/>
      <c r="Y47" s="262"/>
      <c r="Z47" s="4">
        <f t="shared" si="4"/>
        <v>1100000</v>
      </c>
      <c r="AA47" s="1">
        <f t="shared" si="5"/>
        <v>250800</v>
      </c>
      <c r="AB47" s="97" t="s">
        <v>331</v>
      </c>
    </row>
    <row r="48" spans="1:28" ht="16" x14ac:dyDescent="0.2">
      <c r="A48" s="97" t="s">
        <v>26</v>
      </c>
      <c r="B48" s="345">
        <f>376000*1.2</f>
        <v>451200</v>
      </c>
      <c r="C48" s="223">
        <v>201510</v>
      </c>
      <c r="D48" s="345">
        <f>143000*1.2</f>
        <v>171600</v>
      </c>
      <c r="E48" s="223">
        <v>75565</v>
      </c>
      <c r="F48" s="345">
        <f>500000+400000</f>
        <v>900000</v>
      </c>
      <c r="G48" s="223">
        <v>668874</v>
      </c>
      <c r="I48" s="223"/>
      <c r="J48" s="2"/>
      <c r="K48" s="223">
        <v>0</v>
      </c>
      <c r="L48" s="1"/>
      <c r="M48" s="223"/>
      <c r="N48" s="346">
        <f>66000-14652</f>
        <v>51348</v>
      </c>
      <c r="O48" s="262">
        <v>43956</v>
      </c>
      <c r="P48" s="345">
        <v>600000</v>
      </c>
      <c r="Q48" s="223">
        <v>330000</v>
      </c>
      <c r="T48" s="1"/>
      <c r="U48" s="241"/>
      <c r="V48" s="1"/>
      <c r="W48" s="223"/>
      <c r="X48" s="4"/>
      <c r="Y48" s="262"/>
      <c r="Z48" s="4">
        <f t="shared" si="4"/>
        <v>2174148</v>
      </c>
      <c r="AA48" s="1">
        <f t="shared" si="5"/>
        <v>1319905</v>
      </c>
      <c r="AB48" s="97" t="s">
        <v>26</v>
      </c>
    </row>
    <row r="49" spans="1:28" ht="16" x14ac:dyDescent="0.2">
      <c r="A49" s="97" t="s">
        <v>304</v>
      </c>
      <c r="C49" s="223"/>
      <c r="E49" s="223"/>
      <c r="G49" s="223"/>
      <c r="I49" s="223"/>
      <c r="J49" s="2"/>
      <c r="K49" s="223"/>
      <c r="L49" s="1"/>
      <c r="M49" s="223"/>
      <c r="N49" s="1"/>
      <c r="O49" s="262"/>
      <c r="P49" s="1"/>
      <c r="Q49" s="223"/>
      <c r="T49" s="1"/>
      <c r="U49" s="241"/>
      <c r="V49" s="1"/>
      <c r="W49" s="223"/>
      <c r="X49" s="4"/>
      <c r="Y49" s="262"/>
      <c r="Z49" s="4">
        <f t="shared" si="4"/>
        <v>0</v>
      </c>
      <c r="AA49" s="1">
        <f t="shared" si="5"/>
        <v>0</v>
      </c>
      <c r="AB49" s="97" t="s">
        <v>115</v>
      </c>
    </row>
    <row r="50" spans="1:28" ht="16" x14ac:dyDescent="0.2">
      <c r="A50" s="97" t="s">
        <v>82</v>
      </c>
      <c r="C50" s="223"/>
      <c r="D50" s="345">
        <v>55000</v>
      </c>
      <c r="E50" s="223"/>
      <c r="G50" s="223"/>
      <c r="H50" s="345">
        <v>1000000</v>
      </c>
      <c r="I50" s="223">
        <v>410800</v>
      </c>
      <c r="J50" s="2"/>
      <c r="K50" s="223"/>
      <c r="L50" s="1"/>
      <c r="M50" s="223"/>
      <c r="N50" s="1"/>
      <c r="O50" s="262"/>
      <c r="P50" s="1"/>
      <c r="Q50" s="223"/>
      <c r="T50" s="1"/>
      <c r="U50" s="241"/>
      <c r="V50" s="1"/>
      <c r="W50" s="223"/>
      <c r="X50" s="427">
        <v>120000</v>
      </c>
      <c r="Y50" s="262">
        <v>135000</v>
      </c>
      <c r="Z50" s="4">
        <f>B50+D50+F50+N50+H50+J50+L50+P50+T50+R50+V50+X50</f>
        <v>1175000</v>
      </c>
      <c r="AA50" s="1">
        <f t="shared" si="5"/>
        <v>545800</v>
      </c>
      <c r="AB50" s="97" t="s">
        <v>82</v>
      </c>
    </row>
    <row r="51" spans="1:28" ht="16" x14ac:dyDescent="0.2">
      <c r="A51" s="97" t="s">
        <v>22</v>
      </c>
      <c r="B51" s="345">
        <v>80000</v>
      </c>
      <c r="C51" s="223">
        <v>69292</v>
      </c>
      <c r="E51" s="223"/>
      <c r="G51" s="223"/>
      <c r="I51" s="223"/>
      <c r="J51" s="2"/>
      <c r="K51" s="223">
        <v>0</v>
      </c>
      <c r="L51" s="1"/>
      <c r="M51" s="223"/>
      <c r="N51" s="1"/>
      <c r="O51" s="262"/>
      <c r="P51" s="1"/>
      <c r="Q51" s="223">
        <v>0</v>
      </c>
      <c r="T51" s="1"/>
      <c r="U51" s="241"/>
      <c r="V51" s="1"/>
      <c r="W51" s="223"/>
      <c r="X51" s="4"/>
      <c r="Y51" s="262"/>
      <c r="Z51" s="4">
        <f t="shared" si="4"/>
        <v>80000</v>
      </c>
      <c r="AA51" s="1">
        <f t="shared" si="5"/>
        <v>69292</v>
      </c>
      <c r="AB51" s="97" t="s">
        <v>22</v>
      </c>
    </row>
    <row r="52" spans="1:28" ht="16" x14ac:dyDescent="0.2">
      <c r="A52" s="97" t="s">
        <v>13</v>
      </c>
      <c r="C52" s="223"/>
      <c r="E52" s="223"/>
      <c r="G52" s="223"/>
      <c r="H52" s="345">
        <v>100000</v>
      </c>
      <c r="I52" s="223">
        <v>41000</v>
      </c>
      <c r="J52" s="2"/>
      <c r="K52" s="223">
        <v>0</v>
      </c>
      <c r="L52" s="1"/>
      <c r="M52" s="223"/>
      <c r="N52" s="1"/>
      <c r="O52" s="262"/>
      <c r="P52" s="1"/>
      <c r="Q52" s="223">
        <v>0</v>
      </c>
      <c r="T52" s="1"/>
      <c r="U52" s="241"/>
      <c r="V52" s="1"/>
      <c r="W52" s="223"/>
      <c r="X52" s="4"/>
      <c r="Y52" s="262"/>
      <c r="Z52" s="4">
        <f t="shared" si="4"/>
        <v>100000</v>
      </c>
      <c r="AA52" s="1">
        <f t="shared" si="5"/>
        <v>41000</v>
      </c>
      <c r="AB52" s="97" t="s">
        <v>13</v>
      </c>
    </row>
    <row r="53" spans="1:28" ht="15.5" customHeight="1" x14ac:dyDescent="0.2">
      <c r="A53" s="97" t="s">
        <v>17</v>
      </c>
      <c r="B53" s="345">
        <v>150000</v>
      </c>
      <c r="C53" s="223">
        <v>119682</v>
      </c>
      <c r="D53" s="345">
        <f>90000</f>
        <v>90000</v>
      </c>
      <c r="E53" s="223">
        <v>83762</v>
      </c>
      <c r="G53" s="223"/>
      <c r="H53" s="345">
        <v>250000</v>
      </c>
      <c r="I53" s="223">
        <v>115789</v>
      </c>
      <c r="J53" s="2"/>
      <c r="K53" s="223">
        <v>0</v>
      </c>
      <c r="L53" s="1"/>
      <c r="M53" s="223"/>
      <c r="N53" s="1"/>
      <c r="O53" s="262"/>
      <c r="P53" s="1"/>
      <c r="Q53" s="223">
        <v>0</v>
      </c>
      <c r="T53" s="1"/>
      <c r="U53" s="241"/>
      <c r="V53" s="1"/>
      <c r="W53" s="223"/>
      <c r="X53" s="427">
        <v>30000</v>
      </c>
      <c r="Y53" s="262">
        <v>18089</v>
      </c>
      <c r="Z53" s="4">
        <f t="shared" si="4"/>
        <v>520000</v>
      </c>
      <c r="AA53" s="1">
        <f t="shared" si="5"/>
        <v>337322</v>
      </c>
      <c r="AB53" s="97" t="s">
        <v>17</v>
      </c>
    </row>
    <row r="54" spans="1:28" ht="125" customHeight="1" x14ac:dyDescent="0.2">
      <c r="A54" s="97" t="s">
        <v>293</v>
      </c>
      <c r="C54" s="223"/>
      <c r="E54" s="223"/>
      <c r="F54" s="345">
        <v>500000</v>
      </c>
      <c r="G54" s="223">
        <v>243580</v>
      </c>
      <c r="I54" s="223"/>
      <c r="J54" s="2"/>
      <c r="K54" s="223">
        <v>0</v>
      </c>
      <c r="L54" s="1"/>
      <c r="M54" s="223"/>
      <c r="N54" s="1"/>
      <c r="O54" s="262"/>
      <c r="P54" s="1"/>
      <c r="Q54" s="223">
        <v>0</v>
      </c>
      <c r="R54" s="345">
        <v>500000</v>
      </c>
      <c r="T54" s="1"/>
      <c r="U54" s="241"/>
      <c r="V54" s="1"/>
      <c r="W54" s="223"/>
      <c r="X54" s="4"/>
      <c r="Y54" s="262"/>
      <c r="Z54" s="4">
        <f t="shared" si="4"/>
        <v>1000000</v>
      </c>
      <c r="AA54" s="1">
        <f>C54+E54+G54+O54+I54+K54+M54+Q54+S54+U54+W54+Y54</f>
        <v>243580</v>
      </c>
      <c r="AB54" s="97" t="s">
        <v>63</v>
      </c>
    </row>
    <row r="55" spans="1:28" ht="16" x14ac:dyDescent="0.2">
      <c r="A55" s="97" t="s">
        <v>116</v>
      </c>
      <c r="B55" s="345">
        <v>1500000</v>
      </c>
      <c r="C55" s="223">
        <v>1082857</v>
      </c>
      <c r="D55" s="345">
        <v>900000</v>
      </c>
      <c r="E55" s="223">
        <v>720427</v>
      </c>
      <c r="F55" s="345">
        <v>1200000</v>
      </c>
      <c r="G55" s="223">
        <v>564827</v>
      </c>
      <c r="H55" s="3">
        <v>0</v>
      </c>
      <c r="I55" s="223"/>
      <c r="J55" s="2"/>
      <c r="K55" s="223">
        <v>0</v>
      </c>
      <c r="L55" s="1"/>
      <c r="M55" s="223"/>
      <c r="N55" s="1"/>
      <c r="O55" s="262">
        <v>70466</v>
      </c>
      <c r="P55" s="1"/>
      <c r="Q55" s="223"/>
      <c r="R55" s="345">
        <f>900000+150000+100000</f>
        <v>1150000</v>
      </c>
      <c r="S55" s="223">
        <v>870734</v>
      </c>
      <c r="T55" s="345">
        <f>100000+100000</f>
        <v>200000</v>
      </c>
      <c r="U55" s="241">
        <v>187222</v>
      </c>
      <c r="V55" s="346">
        <v>300000</v>
      </c>
      <c r="W55" s="223">
        <v>123081</v>
      </c>
      <c r="X55" s="427">
        <v>500000</v>
      </c>
      <c r="Y55" s="262"/>
      <c r="Z55" s="4">
        <f t="shared" si="4"/>
        <v>5750000</v>
      </c>
      <c r="AA55" s="1">
        <f t="shared" si="5"/>
        <v>3619614</v>
      </c>
      <c r="AB55" s="97" t="s">
        <v>116</v>
      </c>
    </row>
    <row r="56" spans="1:28" ht="16" x14ac:dyDescent="0.2">
      <c r="A56" s="97" t="s">
        <v>42</v>
      </c>
      <c r="B56" s="345">
        <v>700000</v>
      </c>
      <c r="C56" s="223">
        <v>149400</v>
      </c>
      <c r="E56" s="223"/>
      <c r="G56" s="223"/>
      <c r="I56" s="223"/>
      <c r="J56" s="2"/>
      <c r="K56" s="223">
        <v>0</v>
      </c>
      <c r="L56" s="1"/>
      <c r="M56" s="223"/>
      <c r="N56" s="1"/>
      <c r="O56" s="262"/>
      <c r="P56" s="1"/>
      <c r="Q56" s="223">
        <v>0</v>
      </c>
      <c r="R56" s="345">
        <v>200000</v>
      </c>
      <c r="S56" s="223">
        <v>141440</v>
      </c>
      <c r="T56" s="1"/>
      <c r="U56" s="241"/>
      <c r="V56" s="1"/>
      <c r="W56" s="223"/>
      <c r="X56" s="4"/>
      <c r="Y56" s="262"/>
      <c r="Z56" s="4">
        <f t="shared" si="4"/>
        <v>900000</v>
      </c>
      <c r="AA56" s="1">
        <f t="shared" si="5"/>
        <v>290840</v>
      </c>
      <c r="AB56" s="97" t="s">
        <v>42</v>
      </c>
    </row>
    <row r="57" spans="1:28" ht="16" x14ac:dyDescent="0.2">
      <c r="A57" s="97" t="s">
        <v>12</v>
      </c>
      <c r="B57" s="345">
        <f>25000*1.1</f>
        <v>27500.000000000004</v>
      </c>
      <c r="C57" s="223">
        <v>18400</v>
      </c>
      <c r="E57" s="223"/>
      <c r="G57" s="223"/>
      <c r="I57" s="223"/>
      <c r="J57" s="2"/>
      <c r="K57" s="223">
        <v>0</v>
      </c>
      <c r="L57" s="1"/>
      <c r="M57" s="223"/>
      <c r="N57" s="1"/>
      <c r="O57" s="262"/>
      <c r="P57" s="1"/>
      <c r="Q57" s="223">
        <v>0</v>
      </c>
      <c r="R57" s="345">
        <f>48000*1.2</f>
        <v>57600</v>
      </c>
      <c r="S57" s="223">
        <v>34000</v>
      </c>
      <c r="T57" s="1"/>
      <c r="U57" s="241"/>
      <c r="V57" s="1"/>
      <c r="W57" s="223"/>
      <c r="X57" s="4"/>
      <c r="Y57" s="262"/>
      <c r="Z57" s="4">
        <f t="shared" si="4"/>
        <v>85100</v>
      </c>
      <c r="AA57" s="1">
        <f t="shared" si="5"/>
        <v>52400</v>
      </c>
      <c r="AB57" s="97" t="s">
        <v>12</v>
      </c>
    </row>
    <row r="58" spans="1:28" ht="16" x14ac:dyDescent="0.2">
      <c r="A58" s="97" t="s">
        <v>19</v>
      </c>
      <c r="B58" s="345">
        <f>60000+240000-200000</f>
        <v>100000</v>
      </c>
      <c r="C58" s="223"/>
      <c r="D58" s="345">
        <v>50000</v>
      </c>
      <c r="E58" s="223">
        <v>16527</v>
      </c>
      <c r="F58" s="345">
        <v>100000</v>
      </c>
      <c r="G58" s="223">
        <v>18882</v>
      </c>
      <c r="I58" s="223"/>
      <c r="J58" s="2"/>
      <c r="K58" s="223">
        <v>0</v>
      </c>
      <c r="L58" s="1"/>
      <c r="M58" s="223"/>
      <c r="N58" s="1"/>
      <c r="O58" s="262"/>
      <c r="P58" s="1"/>
      <c r="Q58" s="223"/>
      <c r="T58" s="1"/>
      <c r="U58" s="241"/>
      <c r="V58" s="1"/>
      <c r="W58" s="223"/>
      <c r="X58" s="4"/>
      <c r="Y58" s="262"/>
      <c r="Z58" s="4">
        <f t="shared" si="4"/>
        <v>250000</v>
      </c>
      <c r="AA58" s="1">
        <f t="shared" si="5"/>
        <v>35409</v>
      </c>
      <c r="AB58" s="97" t="s">
        <v>19</v>
      </c>
    </row>
    <row r="59" spans="1:28" ht="16" x14ac:dyDescent="0.2">
      <c r="A59" s="97" t="s">
        <v>298</v>
      </c>
      <c r="C59" s="223"/>
      <c r="E59" s="223"/>
      <c r="G59" s="223"/>
      <c r="I59" s="223"/>
      <c r="J59" s="2"/>
      <c r="K59" s="223"/>
      <c r="L59" s="1"/>
      <c r="M59" s="223"/>
      <c r="N59" s="1"/>
      <c r="O59" s="262"/>
      <c r="P59" s="1"/>
      <c r="Q59" s="223"/>
      <c r="T59" s="1"/>
      <c r="U59" s="241"/>
      <c r="V59" s="1"/>
      <c r="W59" s="223"/>
      <c r="X59" s="4"/>
      <c r="Y59" s="262"/>
      <c r="Z59" s="4">
        <f t="shared" si="4"/>
        <v>0</v>
      </c>
      <c r="AA59" s="1">
        <f t="shared" si="5"/>
        <v>0</v>
      </c>
      <c r="AB59" s="97" t="s">
        <v>298</v>
      </c>
    </row>
    <row r="60" spans="1:28" ht="16" x14ac:dyDescent="0.2">
      <c r="A60" s="97" t="s">
        <v>305</v>
      </c>
      <c r="C60" s="223"/>
      <c r="D60" s="345">
        <v>200000</v>
      </c>
      <c r="E60" s="223">
        <v>111000</v>
      </c>
      <c r="G60" s="223"/>
      <c r="I60" s="223"/>
      <c r="J60" s="2"/>
      <c r="K60" s="223">
        <v>0</v>
      </c>
      <c r="L60" s="1"/>
      <c r="M60" s="223"/>
      <c r="N60" s="1"/>
      <c r="O60" s="262"/>
      <c r="P60" s="1"/>
      <c r="Q60" s="223">
        <v>0</v>
      </c>
      <c r="T60" s="1"/>
      <c r="U60" s="241"/>
      <c r="V60" s="1"/>
      <c r="W60" s="223"/>
      <c r="X60" s="4"/>
      <c r="Y60" s="262"/>
      <c r="Z60" s="4">
        <f t="shared" si="4"/>
        <v>200000</v>
      </c>
      <c r="AA60" s="1">
        <f t="shared" si="5"/>
        <v>111000</v>
      </c>
      <c r="AB60" s="97" t="s">
        <v>111</v>
      </c>
    </row>
    <row r="61" spans="1:28" ht="16" x14ac:dyDescent="0.2">
      <c r="A61" s="97" t="s">
        <v>33</v>
      </c>
      <c r="C61" s="223"/>
      <c r="E61" s="223"/>
      <c r="G61" s="223"/>
      <c r="H61" s="345">
        <f>330000</f>
        <v>330000</v>
      </c>
      <c r="I61" s="223">
        <v>420000</v>
      </c>
      <c r="J61" s="2"/>
      <c r="K61" s="223">
        <v>0</v>
      </c>
      <c r="L61" s="1"/>
      <c r="M61" s="223"/>
      <c r="N61" s="1"/>
      <c r="O61" s="262"/>
      <c r="P61" s="1"/>
      <c r="Q61" s="223">
        <v>0</v>
      </c>
      <c r="T61" s="1"/>
      <c r="U61" s="241"/>
      <c r="V61" s="1"/>
      <c r="W61" s="223"/>
      <c r="X61" s="4"/>
      <c r="Y61" s="262"/>
      <c r="Z61" s="4">
        <f t="shared" si="4"/>
        <v>330000</v>
      </c>
      <c r="AA61" s="1">
        <f t="shared" si="5"/>
        <v>420000</v>
      </c>
      <c r="AB61" s="97" t="s">
        <v>33</v>
      </c>
    </row>
    <row r="62" spans="1:28" ht="16" x14ac:dyDescent="0.2">
      <c r="A62" s="97" t="s">
        <v>83</v>
      </c>
      <c r="C62" s="223"/>
      <c r="E62" s="223"/>
      <c r="F62" s="345">
        <v>500000</v>
      </c>
      <c r="G62" s="223"/>
      <c r="I62" s="223"/>
      <c r="J62" s="2"/>
      <c r="K62" s="223">
        <v>0</v>
      </c>
      <c r="L62" s="1"/>
      <c r="M62" s="223"/>
      <c r="N62" s="1"/>
      <c r="P62" s="1"/>
      <c r="Q62" s="223">
        <v>0</v>
      </c>
      <c r="T62" s="1"/>
      <c r="U62" s="241"/>
      <c r="V62" s="1"/>
      <c r="W62" s="223"/>
      <c r="X62" s="4"/>
      <c r="Y62" s="262"/>
      <c r="Z62" s="4">
        <f t="shared" si="4"/>
        <v>500000</v>
      </c>
      <c r="AA62" s="1">
        <f t="shared" si="5"/>
        <v>0</v>
      </c>
      <c r="AB62" s="97" t="s">
        <v>83</v>
      </c>
    </row>
    <row r="63" spans="1:28" ht="31.25" customHeight="1" x14ac:dyDescent="0.2">
      <c r="A63" s="97" t="s">
        <v>43</v>
      </c>
      <c r="C63" s="223"/>
      <c r="E63" s="232"/>
      <c r="F63" s="345">
        <f>'Település üzemeltetés'!G8+'Település üzemeltetés'!G9+'Település üzemeltetés'!G10+'Település üzemeltetés'!G11+Temető!F4+Temető!F6+300000</f>
        <v>1728000</v>
      </c>
      <c r="G63" s="223">
        <v>652143</v>
      </c>
      <c r="I63" s="223"/>
      <c r="J63" s="2"/>
      <c r="K63" s="223">
        <v>0</v>
      </c>
      <c r="L63" s="1"/>
      <c r="M63" s="223"/>
      <c r="N63" s="1"/>
      <c r="O63" s="262"/>
      <c r="P63" s="346">
        <f>Temető!F4</f>
        <v>120000</v>
      </c>
      <c r="Q63" s="223">
        <v>0</v>
      </c>
      <c r="T63" s="1"/>
      <c r="U63" s="241"/>
      <c r="V63" s="1"/>
      <c r="W63" s="223"/>
      <c r="X63" s="427">
        <v>100000</v>
      </c>
      <c r="Y63" s="262"/>
      <c r="Z63" s="4">
        <f t="shared" si="4"/>
        <v>1948000</v>
      </c>
      <c r="AA63" s="1">
        <f t="shared" si="5"/>
        <v>652143</v>
      </c>
      <c r="AB63" s="97" t="s">
        <v>43</v>
      </c>
    </row>
    <row r="64" spans="1:28" ht="31.25" customHeight="1" x14ac:dyDescent="0.2">
      <c r="A64" s="97" t="s">
        <v>302</v>
      </c>
      <c r="C64" s="223"/>
      <c r="D64" s="1"/>
      <c r="E64" s="223"/>
      <c r="F64" s="1"/>
      <c r="G64" s="223"/>
      <c r="I64" s="223"/>
      <c r="J64" s="2"/>
      <c r="K64" s="223"/>
      <c r="L64" s="1"/>
      <c r="M64" s="223"/>
      <c r="N64" s="1"/>
      <c r="O64" s="262"/>
      <c r="P64" s="1"/>
      <c r="Q64" s="223"/>
      <c r="T64" s="1"/>
      <c r="U64" s="241"/>
      <c r="V64" s="1"/>
      <c r="W64" s="223"/>
      <c r="X64" s="4"/>
      <c r="Y64" s="262"/>
      <c r="Z64" s="4">
        <f>B64+D64+F64+N64+H64+J64+L64+P64+T64+R64+V64+X64</f>
        <v>0</v>
      </c>
      <c r="AA64" s="1">
        <f t="shared" si="5"/>
        <v>0</v>
      </c>
      <c r="AB64" s="97" t="s">
        <v>302</v>
      </c>
    </row>
    <row r="65" spans="1:28" ht="16" x14ac:dyDescent="0.2">
      <c r="A65" s="97" t="s">
        <v>45</v>
      </c>
      <c r="C65" s="223"/>
      <c r="D65" s="1"/>
      <c r="E65" s="223"/>
      <c r="F65" s="1"/>
      <c r="G65" s="223"/>
      <c r="H65" s="345">
        <f>10000000*1.3</f>
        <v>13000000</v>
      </c>
      <c r="I65" s="223">
        <v>12932000</v>
      </c>
      <c r="J65" s="2"/>
      <c r="K65" s="223">
        <v>0</v>
      </c>
      <c r="L65" s="1"/>
      <c r="M65" s="223"/>
      <c r="N65" s="1"/>
      <c r="O65" s="262"/>
      <c r="P65" s="1"/>
      <c r="Q65" s="223">
        <v>0</v>
      </c>
      <c r="T65" s="1"/>
      <c r="U65" s="241"/>
      <c r="V65" s="1"/>
      <c r="W65" s="223"/>
      <c r="X65" s="4"/>
      <c r="Y65" s="262"/>
      <c r="Z65" s="4">
        <f t="shared" si="4"/>
        <v>13000000</v>
      </c>
      <c r="AA65" s="1">
        <f t="shared" si="5"/>
        <v>12932000</v>
      </c>
      <c r="AB65" s="97" t="s">
        <v>45</v>
      </c>
    </row>
    <row r="66" spans="1:28" ht="16" x14ac:dyDescent="0.2">
      <c r="A66" s="97" t="s">
        <v>286</v>
      </c>
      <c r="B66" s="1"/>
      <c r="D66" s="346">
        <v>400000</v>
      </c>
      <c r="E66" s="223">
        <v>405000</v>
      </c>
      <c r="F66" s="1"/>
      <c r="G66" s="223"/>
      <c r="I66" s="223"/>
      <c r="J66" s="2"/>
      <c r="K66" s="223">
        <v>0</v>
      </c>
      <c r="L66" s="1"/>
      <c r="M66" s="223"/>
      <c r="N66" s="1"/>
      <c r="O66" s="262"/>
      <c r="P66" s="1"/>
      <c r="Q66" s="223">
        <v>0</v>
      </c>
      <c r="T66" s="346">
        <v>50000</v>
      </c>
      <c r="U66" s="241"/>
      <c r="V66" s="1"/>
      <c r="W66" s="223"/>
      <c r="X66" s="4"/>
      <c r="Y66" s="262"/>
      <c r="Z66" s="4">
        <f t="shared" si="4"/>
        <v>450000</v>
      </c>
      <c r="AA66" s="1">
        <f t="shared" si="5"/>
        <v>405000</v>
      </c>
      <c r="AB66" s="97" t="s">
        <v>120</v>
      </c>
    </row>
    <row r="67" spans="1:28" ht="16" x14ac:dyDescent="0.2">
      <c r="A67" s="97" t="s">
        <v>39</v>
      </c>
      <c r="B67" s="345">
        <f>30000*1.2</f>
        <v>36000</v>
      </c>
      <c r="C67" s="223"/>
      <c r="D67" s="1"/>
      <c r="E67" s="223"/>
      <c r="F67" s="1"/>
      <c r="G67" s="223"/>
      <c r="I67" s="223"/>
      <c r="J67" s="2"/>
      <c r="K67" s="223">
        <v>0</v>
      </c>
      <c r="L67" s="1"/>
      <c r="M67" s="223"/>
      <c r="N67" s="1"/>
      <c r="O67" s="262"/>
      <c r="P67" s="1"/>
      <c r="Q67" s="223">
        <v>0</v>
      </c>
      <c r="T67" s="1"/>
      <c r="U67" s="241"/>
      <c r="V67" s="1"/>
      <c r="W67" s="223"/>
      <c r="X67" s="4"/>
      <c r="Y67" s="262"/>
      <c r="Z67" s="4">
        <f t="shared" si="4"/>
        <v>36000</v>
      </c>
      <c r="AA67" s="1">
        <f t="shared" si="5"/>
        <v>0</v>
      </c>
      <c r="AB67" s="97" t="s">
        <v>39</v>
      </c>
    </row>
    <row r="68" spans="1:28" ht="16" x14ac:dyDescent="0.2">
      <c r="A68" s="97" t="s">
        <v>124</v>
      </c>
      <c r="B68" s="345">
        <v>500000</v>
      </c>
      <c r="C68" s="223">
        <v>522842</v>
      </c>
      <c r="D68" s="1"/>
      <c r="E68" s="223"/>
      <c r="F68" s="1"/>
      <c r="G68" s="223"/>
      <c r="I68" s="223"/>
      <c r="J68" s="2"/>
      <c r="K68" s="223">
        <v>0</v>
      </c>
      <c r="L68" s="1"/>
      <c r="M68" s="223"/>
      <c r="N68" s="1"/>
      <c r="O68" s="262"/>
      <c r="P68" s="1"/>
      <c r="Q68" s="223">
        <v>0</v>
      </c>
      <c r="T68" s="1"/>
      <c r="U68" s="241"/>
      <c r="V68" s="1"/>
      <c r="W68" s="223"/>
      <c r="X68" s="4"/>
      <c r="Y68" s="262"/>
      <c r="Z68" s="4">
        <f t="shared" si="4"/>
        <v>500000</v>
      </c>
      <c r="AA68" s="1">
        <f t="shared" si="5"/>
        <v>522842</v>
      </c>
      <c r="AB68" s="97" t="s">
        <v>124</v>
      </c>
    </row>
    <row r="69" spans="1:28" ht="31.25" customHeight="1" x14ac:dyDescent="0.2">
      <c r="A69" s="97" t="s">
        <v>236</v>
      </c>
      <c r="B69" s="345">
        <f>4*50000</f>
        <v>200000</v>
      </c>
      <c r="C69" s="223">
        <v>125970</v>
      </c>
      <c r="D69" s="345">
        <f>8*50000</f>
        <v>400000</v>
      </c>
      <c r="E69" s="316">
        <v>251246</v>
      </c>
      <c r="F69" s="345">
        <f>13*50000</f>
        <v>650000</v>
      </c>
      <c r="G69" s="223">
        <v>493486</v>
      </c>
      <c r="H69" s="345">
        <f>5*50000</f>
        <v>250000</v>
      </c>
      <c r="I69" s="223">
        <v>188557</v>
      </c>
      <c r="J69" s="2"/>
      <c r="K69" s="223">
        <v>0</v>
      </c>
      <c r="L69" s="1"/>
      <c r="M69" s="223"/>
      <c r="N69" s="1"/>
      <c r="O69" s="262"/>
      <c r="P69" s="345">
        <v>50000</v>
      </c>
      <c r="Q69" s="223">
        <v>50000</v>
      </c>
      <c r="R69" s="345">
        <f>2*50000</f>
        <v>100000</v>
      </c>
      <c r="S69" s="223">
        <v>61575</v>
      </c>
      <c r="T69" s="346">
        <f>2*50000</f>
        <v>100000</v>
      </c>
      <c r="U69" s="241"/>
      <c r="V69" s="346">
        <v>50000</v>
      </c>
      <c r="W69" s="223"/>
      <c r="X69" s="427">
        <v>50000</v>
      </c>
      <c r="Y69" s="262"/>
      <c r="Z69" s="4">
        <f t="shared" si="4"/>
        <v>1850000</v>
      </c>
      <c r="AA69" s="1">
        <f t="shared" si="5"/>
        <v>1170834</v>
      </c>
      <c r="AB69" s="97" t="s">
        <v>236</v>
      </c>
    </row>
    <row r="70" spans="1:28" ht="16" x14ac:dyDescent="0.2">
      <c r="A70" s="97" t="s">
        <v>35</v>
      </c>
      <c r="C70" s="223"/>
      <c r="E70" s="223"/>
      <c r="G70" s="223"/>
      <c r="H70" s="345">
        <f>132000*1.2</f>
        <v>158400</v>
      </c>
      <c r="I70" s="223">
        <v>140000</v>
      </c>
      <c r="J70" s="2"/>
      <c r="K70" s="223">
        <v>0</v>
      </c>
      <c r="L70" s="1"/>
      <c r="M70" s="223"/>
      <c r="N70" s="1"/>
      <c r="O70" s="262"/>
      <c r="P70" s="1"/>
      <c r="Q70" s="223">
        <v>0</v>
      </c>
      <c r="T70" s="1"/>
      <c r="U70" s="241"/>
      <c r="V70" s="1"/>
      <c r="W70" s="223"/>
      <c r="X70" s="4"/>
      <c r="Y70" s="262"/>
      <c r="Z70" s="4">
        <f t="shared" si="4"/>
        <v>158400</v>
      </c>
      <c r="AA70" s="1">
        <f t="shared" si="5"/>
        <v>140000</v>
      </c>
      <c r="AB70" s="97" t="s">
        <v>35</v>
      </c>
    </row>
    <row r="71" spans="1:28" ht="16" x14ac:dyDescent="0.2">
      <c r="A71" s="97" t="s">
        <v>88</v>
      </c>
      <c r="C71" s="223"/>
      <c r="E71" s="223"/>
      <c r="G71" s="223"/>
      <c r="I71" s="223"/>
      <c r="J71" s="2"/>
      <c r="K71" s="223">
        <v>0</v>
      </c>
      <c r="L71" s="1"/>
      <c r="M71" s="223"/>
      <c r="N71" s="1">
        <v>0</v>
      </c>
      <c r="O71" s="262"/>
      <c r="P71" s="1"/>
      <c r="Q71" s="223">
        <v>0</v>
      </c>
      <c r="T71" s="1"/>
      <c r="U71" s="241"/>
      <c r="V71" s="1"/>
      <c r="W71" s="223"/>
      <c r="X71" s="4"/>
      <c r="Y71" s="262"/>
      <c r="Z71" s="4">
        <f t="shared" si="4"/>
        <v>0</v>
      </c>
      <c r="AA71" s="1">
        <f t="shared" si="5"/>
        <v>0</v>
      </c>
      <c r="AB71" s="97" t="s">
        <v>88</v>
      </c>
    </row>
    <row r="72" spans="1:28" ht="16" x14ac:dyDescent="0.2">
      <c r="A72" s="97" t="s">
        <v>87</v>
      </c>
      <c r="C72" s="223"/>
      <c r="D72" s="345">
        <f>85000*1.2</f>
        <v>102000</v>
      </c>
      <c r="E72" s="223">
        <v>82000</v>
      </c>
      <c r="G72" s="223"/>
      <c r="I72" s="223"/>
      <c r="J72" s="2"/>
      <c r="K72" s="223"/>
      <c r="L72" s="1"/>
      <c r="M72" s="223"/>
      <c r="N72" s="1"/>
      <c r="O72" s="262"/>
      <c r="P72" s="1"/>
      <c r="Q72" s="223"/>
      <c r="T72" s="1"/>
      <c r="U72" s="241"/>
      <c r="V72" s="1"/>
      <c r="W72" s="223"/>
      <c r="X72" s="4"/>
      <c r="Y72" s="262"/>
      <c r="Z72" s="4">
        <f t="shared" si="4"/>
        <v>102000</v>
      </c>
      <c r="AA72" s="1">
        <f>C72+E72+G72+O72+I72+K72+M72+Q72+S72+U72+W72+Y72</f>
        <v>82000</v>
      </c>
      <c r="AB72" s="97" t="s">
        <v>87</v>
      </c>
    </row>
    <row r="73" spans="1:28" ht="16" x14ac:dyDescent="0.2">
      <c r="A73" s="97" t="s">
        <v>291</v>
      </c>
      <c r="C73" s="223"/>
      <c r="E73" s="223"/>
      <c r="G73" s="223"/>
      <c r="I73" s="223"/>
      <c r="K73" s="223"/>
      <c r="L73" s="1"/>
      <c r="M73" s="223"/>
      <c r="N73" s="1"/>
      <c r="O73" s="262"/>
      <c r="P73" s="1"/>
      <c r="Q73" s="223"/>
      <c r="T73" s="1"/>
      <c r="U73" s="241"/>
      <c r="V73" s="1"/>
      <c r="W73" s="223"/>
      <c r="X73" s="4"/>
      <c r="Y73" s="262"/>
      <c r="Z73" s="4">
        <f t="shared" si="4"/>
        <v>0</v>
      </c>
      <c r="AA73" s="1">
        <f t="shared" si="5"/>
        <v>0</v>
      </c>
      <c r="AB73" s="97" t="s">
        <v>291</v>
      </c>
    </row>
    <row r="74" spans="1:28" ht="16" x14ac:dyDescent="0.2">
      <c r="A74" s="97" t="s">
        <v>377</v>
      </c>
      <c r="C74" s="223"/>
      <c r="E74" s="223"/>
      <c r="G74" s="223"/>
      <c r="I74" s="223"/>
      <c r="K74" s="223"/>
      <c r="L74" s="1"/>
      <c r="M74" s="223"/>
      <c r="N74" s="1"/>
      <c r="O74" s="262"/>
      <c r="P74" s="1"/>
      <c r="Q74" s="223"/>
      <c r="R74" s="345">
        <f>1000000+80000</f>
        <v>1080000</v>
      </c>
      <c r="T74" s="1"/>
      <c r="U74" s="241"/>
      <c r="V74" s="1"/>
      <c r="W74" s="223"/>
      <c r="X74" s="4"/>
      <c r="Y74" s="262"/>
      <c r="Z74" s="4">
        <f t="shared" si="4"/>
        <v>1080000</v>
      </c>
      <c r="AA74" s="1">
        <f t="shared" si="5"/>
        <v>0</v>
      </c>
      <c r="AB74" s="97" t="s">
        <v>377</v>
      </c>
    </row>
    <row r="75" spans="1:28" ht="16" x14ac:dyDescent="0.2">
      <c r="A75" s="97" t="s">
        <v>31</v>
      </c>
      <c r="C75" s="223"/>
      <c r="E75" s="223"/>
      <c r="G75" s="223"/>
      <c r="H75" s="346">
        <v>3800000</v>
      </c>
      <c r="I75" s="223">
        <v>3144116</v>
      </c>
      <c r="K75" s="223">
        <v>0</v>
      </c>
      <c r="L75" s="1"/>
      <c r="M75" s="223"/>
      <c r="N75" s="1"/>
      <c r="O75" s="262"/>
      <c r="P75" s="1"/>
      <c r="Q75" s="223">
        <v>0</v>
      </c>
      <c r="T75" s="1"/>
      <c r="U75" s="241"/>
      <c r="V75" s="1"/>
      <c r="W75" s="223"/>
      <c r="X75" s="4"/>
      <c r="Y75" s="262"/>
      <c r="Z75" s="4">
        <f t="shared" si="4"/>
        <v>3800000</v>
      </c>
      <c r="AA75" s="1">
        <f t="shared" si="5"/>
        <v>3144116</v>
      </c>
      <c r="AB75" s="97" t="s">
        <v>31</v>
      </c>
    </row>
    <row r="76" spans="1:28" ht="16" x14ac:dyDescent="0.2">
      <c r="A76" s="97" t="s">
        <v>24</v>
      </c>
      <c r="C76" s="223"/>
      <c r="E76" s="223"/>
      <c r="G76" s="223"/>
      <c r="H76" s="345">
        <v>150000</v>
      </c>
      <c r="I76" s="223">
        <v>67400</v>
      </c>
      <c r="J76" s="2"/>
      <c r="K76" s="223">
        <v>0</v>
      </c>
      <c r="L76" s="1"/>
      <c r="M76" s="223"/>
      <c r="N76" s="1"/>
      <c r="O76" s="262"/>
      <c r="P76" s="1"/>
      <c r="Q76" s="223">
        <v>0</v>
      </c>
      <c r="T76" s="1"/>
      <c r="U76" s="241"/>
      <c r="V76" s="1"/>
      <c r="W76" s="223"/>
      <c r="X76" s="4"/>
      <c r="Y76" s="262"/>
      <c r="Z76" s="4">
        <f t="shared" si="4"/>
        <v>150000</v>
      </c>
      <c r="AA76" s="1">
        <f>C76+E76+G76+O76+I76+K76+M76+Q76+S76+U76+W76+Y76</f>
        <v>67400</v>
      </c>
      <c r="AB76" s="97" t="s">
        <v>24</v>
      </c>
    </row>
    <row r="77" spans="1:28" ht="16" x14ac:dyDescent="0.2">
      <c r="A77" s="97" t="s">
        <v>30</v>
      </c>
      <c r="B77" s="345">
        <f>25000*1.2</f>
        <v>30000</v>
      </c>
      <c r="C77" s="223">
        <v>60000</v>
      </c>
      <c r="D77" s="345">
        <v>52000</v>
      </c>
      <c r="E77" s="223"/>
      <c r="G77" s="223"/>
      <c r="I77" s="223"/>
      <c r="J77" s="2"/>
      <c r="K77" s="223">
        <v>0</v>
      </c>
      <c r="L77" s="1"/>
      <c r="M77" s="223"/>
      <c r="N77" s="346">
        <v>36300</v>
      </c>
      <c r="O77" s="262">
        <v>36300</v>
      </c>
      <c r="P77" s="1"/>
      <c r="Q77" s="223">
        <v>0</v>
      </c>
      <c r="T77" s="1"/>
      <c r="U77" s="241"/>
      <c r="V77" s="1"/>
      <c r="W77" s="223"/>
      <c r="X77" s="4"/>
      <c r="Y77" s="262"/>
      <c r="Z77" s="4">
        <f t="shared" si="4"/>
        <v>118300</v>
      </c>
      <c r="AA77" s="1">
        <f t="shared" si="5"/>
        <v>96300</v>
      </c>
      <c r="AB77" s="97" t="s">
        <v>30</v>
      </c>
    </row>
    <row r="78" spans="1:28" ht="16" x14ac:dyDescent="0.2">
      <c r="A78" s="97" t="s">
        <v>65</v>
      </c>
      <c r="B78" s="345">
        <v>500000</v>
      </c>
      <c r="C78" s="223">
        <v>458000</v>
      </c>
      <c r="E78" s="223"/>
      <c r="G78" s="223"/>
      <c r="I78" s="223"/>
      <c r="J78" s="2"/>
      <c r="K78" s="223"/>
      <c r="L78" s="1"/>
      <c r="M78" s="223"/>
      <c r="N78" s="1"/>
      <c r="O78" s="262"/>
      <c r="P78" s="1"/>
      <c r="Q78" s="223"/>
      <c r="T78" s="1"/>
      <c r="U78" s="241"/>
      <c r="V78" s="1"/>
      <c r="W78" s="223"/>
      <c r="X78" s="4"/>
      <c r="Y78" s="262"/>
      <c r="Z78" s="4">
        <f t="shared" si="4"/>
        <v>500000</v>
      </c>
      <c r="AA78" s="1">
        <f t="shared" si="5"/>
        <v>458000</v>
      </c>
      <c r="AB78" s="97" t="s">
        <v>65</v>
      </c>
    </row>
    <row r="79" spans="1:28" x14ac:dyDescent="0.2">
      <c r="A79" s="215" t="s">
        <v>84</v>
      </c>
      <c r="C79" s="223"/>
      <c r="E79" s="223"/>
      <c r="G79" s="223"/>
      <c r="I79" s="223"/>
      <c r="J79" s="2"/>
      <c r="K79" s="223"/>
      <c r="L79" s="1"/>
      <c r="M79" s="223"/>
      <c r="N79" s="1"/>
      <c r="O79" s="262"/>
      <c r="P79" s="1"/>
      <c r="Q79" s="223"/>
      <c r="T79" s="1"/>
      <c r="U79" s="241"/>
      <c r="V79" s="1"/>
      <c r="W79" s="223"/>
      <c r="X79" s="4"/>
      <c r="Y79" s="262"/>
      <c r="Z79" s="4">
        <f t="shared" si="4"/>
        <v>0</v>
      </c>
      <c r="AA79" s="1">
        <f t="shared" si="5"/>
        <v>0</v>
      </c>
      <c r="AB79" s="215" t="s">
        <v>84</v>
      </c>
    </row>
    <row r="80" spans="1:28" ht="31.25" customHeight="1" thickBot="1" x14ac:dyDescent="0.25">
      <c r="A80" s="337" t="s">
        <v>157</v>
      </c>
      <c r="C80" s="223"/>
      <c r="E80" s="223"/>
      <c r="F80" s="345">
        <f>50000+'Település üzemeltetés'!L16</f>
        <v>100000</v>
      </c>
      <c r="G80" s="223">
        <v>52960</v>
      </c>
      <c r="I80" s="223"/>
      <c r="J80" s="2"/>
      <c r="K80" s="223"/>
      <c r="L80" s="1"/>
      <c r="M80" s="223"/>
      <c r="N80" s="1"/>
      <c r="O80" s="262"/>
      <c r="P80" s="1"/>
      <c r="Q80" s="223"/>
      <c r="T80" s="1"/>
      <c r="U80" s="241"/>
      <c r="V80" s="1"/>
      <c r="W80" s="223"/>
      <c r="X80" s="4"/>
      <c r="Y80" s="262"/>
      <c r="Z80" s="4">
        <f t="shared" si="4"/>
        <v>100000</v>
      </c>
      <c r="AA80" s="1">
        <f t="shared" si="5"/>
        <v>52960</v>
      </c>
      <c r="AB80" s="97" t="s">
        <v>81</v>
      </c>
    </row>
    <row r="81" spans="1:28" ht="16" x14ac:dyDescent="0.2">
      <c r="A81" s="97" t="s">
        <v>114</v>
      </c>
      <c r="B81" s="345">
        <v>130000</v>
      </c>
      <c r="C81" s="223">
        <v>103660</v>
      </c>
      <c r="D81" s="3">
        <v>0</v>
      </c>
      <c r="E81" s="223"/>
      <c r="G81" s="223"/>
      <c r="H81" s="345">
        <f>800000</f>
        <v>800000</v>
      </c>
      <c r="I81" s="223">
        <v>694402</v>
      </c>
      <c r="J81" s="2"/>
      <c r="K81" s="223">
        <v>0</v>
      </c>
      <c r="L81" s="1"/>
      <c r="M81" s="223"/>
      <c r="N81" s="1">
        <v>0</v>
      </c>
      <c r="O81" s="262"/>
      <c r="P81" s="1"/>
      <c r="Q81" s="223">
        <v>0</v>
      </c>
      <c r="T81" s="1"/>
      <c r="U81" s="241"/>
      <c r="V81" s="1"/>
      <c r="W81" s="223"/>
      <c r="X81" s="4"/>
      <c r="Y81" s="262"/>
      <c r="Z81" s="4">
        <f t="shared" ref="Z81:Z97" si="6">B81+D81+F81+N81+H81+J81+L81+P81+T81+R81+V81+X81</f>
        <v>930000</v>
      </c>
      <c r="AA81" s="1">
        <f t="shared" ref="AA81:AA97" si="7">C81+E81+G81+O81+I81+K81+M81+Q81+S81+U81+W81+Y81</f>
        <v>798062</v>
      </c>
      <c r="AB81" s="97" t="s">
        <v>114</v>
      </c>
    </row>
    <row r="82" spans="1:28" ht="16" x14ac:dyDescent="0.2">
      <c r="A82" s="97" t="s">
        <v>38</v>
      </c>
      <c r="B82" s="345">
        <v>250000</v>
      </c>
      <c r="C82" s="223">
        <v>130876</v>
      </c>
      <c r="E82" s="223"/>
      <c r="G82" s="223"/>
      <c r="I82" s="223"/>
      <c r="J82" s="2"/>
      <c r="K82" s="223">
        <v>0</v>
      </c>
      <c r="L82" s="1"/>
      <c r="M82" s="223"/>
      <c r="N82" s="1"/>
      <c r="O82" s="262"/>
      <c r="P82" s="1"/>
      <c r="Q82" s="223">
        <v>0</v>
      </c>
      <c r="R82" s="345">
        <v>1800000</v>
      </c>
      <c r="S82" s="223">
        <v>399880</v>
      </c>
      <c r="T82" s="1"/>
      <c r="U82" s="241"/>
      <c r="V82" s="1"/>
      <c r="W82" s="223"/>
      <c r="X82" s="4"/>
      <c r="Y82" s="262"/>
      <c r="Z82" s="4">
        <f t="shared" si="6"/>
        <v>2050000</v>
      </c>
      <c r="AA82" s="1">
        <f t="shared" si="7"/>
        <v>530756</v>
      </c>
      <c r="AB82" s="97" t="s">
        <v>38</v>
      </c>
    </row>
    <row r="83" spans="1:28" ht="16" x14ac:dyDescent="0.2">
      <c r="A83" s="97" t="s">
        <v>330</v>
      </c>
      <c r="C83" s="223"/>
      <c r="E83" s="223"/>
      <c r="G83" s="223"/>
      <c r="I83" s="223"/>
      <c r="J83" s="2"/>
      <c r="K83" s="223"/>
      <c r="L83" s="1"/>
      <c r="M83" s="223"/>
      <c r="N83" s="1"/>
      <c r="O83" s="262"/>
      <c r="P83" s="1"/>
      <c r="Q83" s="223"/>
      <c r="S83" s="223">
        <v>110445</v>
      </c>
      <c r="T83" s="1"/>
      <c r="U83" s="241"/>
      <c r="V83" s="1"/>
      <c r="W83" s="223"/>
      <c r="X83" s="4"/>
      <c r="Y83" s="262"/>
      <c r="Z83" s="4">
        <f t="shared" si="6"/>
        <v>0</v>
      </c>
      <c r="AA83" s="1">
        <f t="shared" si="7"/>
        <v>110445</v>
      </c>
      <c r="AB83" s="97" t="s">
        <v>330</v>
      </c>
    </row>
    <row r="84" spans="1:28" ht="16" x14ac:dyDescent="0.2">
      <c r="A84" s="97" t="s">
        <v>110</v>
      </c>
      <c r="B84" s="345">
        <f>242000*1.1</f>
        <v>266200</v>
      </c>
      <c r="C84" s="223">
        <v>202452</v>
      </c>
      <c r="E84" s="223"/>
      <c r="G84" s="223"/>
      <c r="I84" s="223"/>
      <c r="J84" s="2"/>
      <c r="K84" s="223">
        <v>0</v>
      </c>
      <c r="L84" s="1"/>
      <c r="M84" s="223"/>
      <c r="N84" s="1"/>
      <c r="O84" s="262"/>
      <c r="P84" s="1"/>
      <c r="Q84" s="223">
        <v>0</v>
      </c>
      <c r="T84" s="1"/>
      <c r="U84" s="241"/>
      <c r="V84" s="1"/>
      <c r="W84" s="223"/>
      <c r="X84" s="4"/>
      <c r="Y84" s="262"/>
      <c r="Z84" s="4">
        <f t="shared" si="6"/>
        <v>266200</v>
      </c>
      <c r="AA84" s="1">
        <f t="shared" si="7"/>
        <v>202452</v>
      </c>
      <c r="AB84" s="97" t="s">
        <v>110</v>
      </c>
    </row>
    <row r="85" spans="1:28" ht="16" x14ac:dyDescent="0.2">
      <c r="A85" s="97" t="s">
        <v>107</v>
      </c>
      <c r="B85" s="345">
        <f>143000*1.2</f>
        <v>171600</v>
      </c>
      <c r="C85" s="223">
        <v>69800</v>
      </c>
      <c r="E85" s="223"/>
      <c r="G85" s="223"/>
      <c r="I85" s="223"/>
      <c r="J85" s="2"/>
      <c r="K85" s="223">
        <v>0</v>
      </c>
      <c r="L85" s="1"/>
      <c r="M85" s="223"/>
      <c r="N85" s="1"/>
      <c r="O85" s="262"/>
      <c r="P85" s="1"/>
      <c r="Q85" s="223">
        <v>0</v>
      </c>
      <c r="T85" s="1"/>
      <c r="U85" s="241"/>
      <c r="V85" s="1"/>
      <c r="W85" s="223"/>
      <c r="X85" s="4"/>
      <c r="Y85" s="262"/>
      <c r="Z85" s="4">
        <f t="shared" si="6"/>
        <v>171600</v>
      </c>
      <c r="AA85" s="1">
        <f t="shared" si="7"/>
        <v>69800</v>
      </c>
      <c r="AB85" s="97" t="s">
        <v>107</v>
      </c>
    </row>
    <row r="86" spans="1:28" ht="16" x14ac:dyDescent="0.2">
      <c r="A86" s="216" t="s">
        <v>126</v>
      </c>
      <c r="C86" s="223"/>
      <c r="E86" s="232"/>
      <c r="F86" s="345">
        <f>'Település üzemeltetés'!G34+'Település üzemeltetés'!G35+'Település üzemeltetés'!G37+'Település üzemeltetés'!G40+'Település üzemeltetés'!G47</f>
        <v>9239866.6666666679</v>
      </c>
      <c r="G86" s="232">
        <v>5308660</v>
      </c>
      <c r="I86" s="223"/>
      <c r="J86" s="2"/>
      <c r="K86" s="223">
        <v>0</v>
      </c>
      <c r="L86" s="1"/>
      <c r="M86" s="223"/>
      <c r="N86" s="1"/>
      <c r="O86" s="264"/>
      <c r="P86" s="431"/>
      <c r="Q86" s="223">
        <v>0</v>
      </c>
      <c r="T86" s="1"/>
      <c r="U86" s="241"/>
      <c r="V86" s="1"/>
      <c r="W86" s="223"/>
      <c r="X86" s="4"/>
      <c r="Y86" s="262"/>
      <c r="Z86" s="4">
        <f t="shared" si="6"/>
        <v>9239866.6666666679</v>
      </c>
      <c r="AA86" s="1">
        <f t="shared" si="7"/>
        <v>5308660</v>
      </c>
      <c r="AB86" s="216" t="s">
        <v>126</v>
      </c>
    </row>
    <row r="87" spans="1:28" ht="16" x14ac:dyDescent="0.2">
      <c r="A87" s="216" t="s">
        <v>34</v>
      </c>
      <c r="C87" s="223"/>
      <c r="E87" s="232"/>
      <c r="G87" s="232"/>
      <c r="H87" s="345">
        <v>320000</v>
      </c>
      <c r="I87" s="223">
        <v>298200</v>
      </c>
      <c r="J87" s="2"/>
      <c r="K87" s="223">
        <v>0</v>
      </c>
      <c r="L87" s="1"/>
      <c r="M87" s="223"/>
      <c r="N87" s="1"/>
      <c r="O87" s="264"/>
      <c r="P87" s="431"/>
      <c r="Q87" s="223">
        <v>0</v>
      </c>
      <c r="T87" s="1"/>
      <c r="U87" s="241"/>
      <c r="V87" s="1"/>
      <c r="W87" s="223"/>
      <c r="X87" s="4"/>
      <c r="Y87" s="262"/>
      <c r="Z87" s="4">
        <f t="shared" si="6"/>
        <v>320000</v>
      </c>
      <c r="AA87" s="1">
        <f t="shared" si="7"/>
        <v>298200</v>
      </c>
      <c r="AB87" s="216" t="s">
        <v>34</v>
      </c>
    </row>
    <row r="88" spans="1:28" ht="16" x14ac:dyDescent="0.2">
      <c r="A88" s="216" t="s">
        <v>25</v>
      </c>
      <c r="B88" s="345">
        <v>800000</v>
      </c>
      <c r="C88" s="223">
        <v>521500</v>
      </c>
      <c r="D88" s="345">
        <v>382000</v>
      </c>
      <c r="E88" s="232"/>
      <c r="G88" s="232"/>
      <c r="I88" s="223"/>
      <c r="J88" s="2"/>
      <c r="K88" s="223">
        <v>0</v>
      </c>
      <c r="L88" s="1"/>
      <c r="M88" s="223"/>
      <c r="N88" s="346">
        <f>704235-150000</f>
        <v>554235</v>
      </c>
      <c r="O88" s="264">
        <v>500000</v>
      </c>
      <c r="P88" s="431"/>
      <c r="Q88" s="223">
        <v>0</v>
      </c>
      <c r="T88" s="1"/>
      <c r="U88" s="241"/>
      <c r="V88" s="1"/>
      <c r="W88" s="223"/>
      <c r="X88" s="427">
        <f>25000*6+51000*6</f>
        <v>456000</v>
      </c>
      <c r="Y88" s="262"/>
      <c r="Z88" s="4">
        <f t="shared" si="6"/>
        <v>2192235</v>
      </c>
      <c r="AA88" s="1">
        <f t="shared" si="7"/>
        <v>1021500</v>
      </c>
      <c r="AB88" s="216" t="s">
        <v>25</v>
      </c>
    </row>
    <row r="89" spans="1:28" ht="16" x14ac:dyDescent="0.2">
      <c r="A89" s="216" t="s">
        <v>343</v>
      </c>
      <c r="C89" s="232"/>
      <c r="E89" s="232"/>
      <c r="G89" s="232"/>
      <c r="I89" s="223"/>
      <c r="J89" s="2"/>
      <c r="K89" s="223"/>
      <c r="L89" s="1"/>
      <c r="M89" s="223"/>
      <c r="N89" s="1"/>
      <c r="O89" s="264"/>
      <c r="P89" s="431"/>
      <c r="Q89" s="223"/>
      <c r="T89" s="1"/>
      <c r="U89" s="241"/>
      <c r="V89" s="1"/>
      <c r="W89" s="223"/>
      <c r="X89" s="427">
        <v>300000</v>
      </c>
      <c r="Y89" s="262">
        <v>109879</v>
      </c>
      <c r="Z89" s="4">
        <f t="shared" si="6"/>
        <v>300000</v>
      </c>
      <c r="AA89" s="1">
        <f t="shared" si="7"/>
        <v>109879</v>
      </c>
      <c r="AB89" s="216" t="s">
        <v>343</v>
      </c>
    </row>
    <row r="90" spans="1:28" ht="16" x14ac:dyDescent="0.2">
      <c r="A90" s="216" t="s">
        <v>36</v>
      </c>
      <c r="C90" s="232"/>
      <c r="E90" s="232"/>
      <c r="G90" s="232"/>
      <c r="H90" s="345">
        <v>450000</v>
      </c>
      <c r="I90" s="223">
        <v>418953</v>
      </c>
      <c r="J90" s="2"/>
      <c r="K90" s="223">
        <v>0</v>
      </c>
      <c r="L90" s="1"/>
      <c r="M90" s="223"/>
      <c r="N90" s="1"/>
      <c r="O90" s="264"/>
      <c r="P90" s="431"/>
      <c r="Q90" s="223">
        <v>0</v>
      </c>
      <c r="T90" s="1"/>
      <c r="U90" s="241"/>
      <c r="V90" s="1"/>
      <c r="W90" s="223"/>
      <c r="X90" s="4"/>
      <c r="Y90" s="262"/>
      <c r="Z90" s="4">
        <f t="shared" si="6"/>
        <v>450000</v>
      </c>
      <c r="AA90" s="1">
        <f t="shared" si="7"/>
        <v>418953</v>
      </c>
      <c r="AB90" s="216" t="s">
        <v>36</v>
      </c>
    </row>
    <row r="91" spans="1:28" ht="16" x14ac:dyDescent="0.2">
      <c r="A91" s="217" t="s">
        <v>301</v>
      </c>
      <c r="B91" s="345">
        <f>1500000-1000000</f>
        <v>500000</v>
      </c>
      <c r="C91" s="223">
        <v>146176</v>
      </c>
      <c r="D91" s="345">
        <v>70000</v>
      </c>
      <c r="E91" s="223">
        <v>15914</v>
      </c>
      <c r="F91" s="345">
        <v>50000</v>
      </c>
      <c r="G91" s="223">
        <v>11212</v>
      </c>
      <c r="I91" s="223"/>
      <c r="J91" s="2"/>
      <c r="K91" s="223">
        <v>0</v>
      </c>
      <c r="L91" s="1">
        <v>0</v>
      </c>
      <c r="M91" s="223">
        <v>0</v>
      </c>
      <c r="N91" s="1"/>
      <c r="O91" s="262">
        <v>33360</v>
      </c>
      <c r="P91" s="3">
        <v>0</v>
      </c>
      <c r="Q91" s="223"/>
      <c r="R91" s="3">
        <v>0</v>
      </c>
      <c r="S91" s="241"/>
      <c r="T91" s="345">
        <v>120000</v>
      </c>
      <c r="U91" s="241">
        <v>64284</v>
      </c>
      <c r="V91" s="1"/>
      <c r="W91" s="223"/>
      <c r="X91" s="4"/>
      <c r="Y91" s="262"/>
      <c r="Z91" s="4">
        <f t="shared" si="6"/>
        <v>740000</v>
      </c>
      <c r="AA91" s="1">
        <f t="shared" si="7"/>
        <v>270946</v>
      </c>
      <c r="AB91" s="217" t="s">
        <v>40</v>
      </c>
    </row>
    <row r="92" spans="1:28" ht="52.5" customHeight="1" x14ac:dyDescent="0.2">
      <c r="A92" s="218" t="s">
        <v>9</v>
      </c>
      <c r="B92" s="345">
        <f>2500000</f>
        <v>2500000</v>
      </c>
      <c r="C92" s="223">
        <v>962972</v>
      </c>
      <c r="D92" s="345">
        <f>75000*1.2</f>
        <v>90000</v>
      </c>
      <c r="E92" s="223">
        <v>36336</v>
      </c>
      <c r="G92" s="223"/>
      <c r="I92" s="223"/>
      <c r="J92" s="2"/>
      <c r="K92" s="223">
        <v>0</v>
      </c>
      <c r="L92" s="1"/>
      <c r="M92" s="223"/>
      <c r="N92" s="346">
        <f>1976001-12023</f>
        <v>1963978</v>
      </c>
      <c r="O92" s="262">
        <v>858198</v>
      </c>
      <c r="P92" s="345">
        <f>60000*1.2</f>
        <v>72000</v>
      </c>
      <c r="Q92" s="223">
        <v>31720</v>
      </c>
      <c r="S92" s="241"/>
      <c r="U92" s="241"/>
      <c r="V92" s="1"/>
      <c r="W92" s="223"/>
      <c r="X92" s="4"/>
      <c r="Y92" s="262"/>
      <c r="Z92" s="4">
        <f t="shared" si="6"/>
        <v>4625978</v>
      </c>
      <c r="AA92" s="1">
        <f t="shared" si="7"/>
        <v>1889226</v>
      </c>
      <c r="AB92" s="218" t="s">
        <v>9</v>
      </c>
    </row>
    <row r="93" spans="1:28" ht="16" x14ac:dyDescent="0.2">
      <c r="A93" s="217" t="s">
        <v>23</v>
      </c>
      <c r="C93" s="223"/>
      <c r="D93" s="345">
        <f>60000*1.2</f>
        <v>72000</v>
      </c>
      <c r="E93" s="223"/>
      <c r="G93" s="223"/>
      <c r="I93" s="223"/>
      <c r="J93" s="2"/>
      <c r="K93" s="223">
        <v>0</v>
      </c>
      <c r="L93" s="1"/>
      <c r="M93" s="223"/>
      <c r="N93" s="1"/>
      <c r="O93" s="262"/>
      <c r="Q93" s="223"/>
      <c r="S93" s="241"/>
      <c r="U93" s="241"/>
      <c r="V93" s="1"/>
      <c r="W93" s="223"/>
      <c r="X93" s="4"/>
      <c r="Y93" s="262"/>
      <c r="Z93" s="4">
        <f t="shared" si="6"/>
        <v>72000</v>
      </c>
      <c r="AA93" s="1">
        <f t="shared" si="7"/>
        <v>0</v>
      </c>
      <c r="AB93" s="217" t="s">
        <v>23</v>
      </c>
    </row>
    <row r="94" spans="1:28" ht="16" x14ac:dyDescent="0.2">
      <c r="A94" s="216" t="s">
        <v>106</v>
      </c>
      <c r="B94" s="345">
        <f>300000+300000</f>
        <v>600000</v>
      </c>
      <c r="C94" s="232">
        <v>636196</v>
      </c>
      <c r="D94" s="345">
        <f>100000*1.2</f>
        <v>120000</v>
      </c>
      <c r="E94" s="232"/>
      <c r="G94" s="232">
        <v>7770</v>
      </c>
      <c r="I94" s="223"/>
      <c r="J94" s="2"/>
      <c r="K94" s="223">
        <v>0</v>
      </c>
      <c r="L94" s="1"/>
      <c r="M94" s="223">
        <v>0</v>
      </c>
      <c r="N94" s="1"/>
      <c r="O94" s="264"/>
      <c r="P94" s="345">
        <v>100000</v>
      </c>
      <c r="Q94" s="232"/>
      <c r="R94" s="3">
        <v>0</v>
      </c>
      <c r="T94" s="345">
        <v>45000</v>
      </c>
      <c r="U94" s="241">
        <v>17174</v>
      </c>
      <c r="V94" s="1"/>
      <c r="W94" s="223"/>
      <c r="X94" s="4"/>
      <c r="Y94" s="262"/>
      <c r="Z94" s="4">
        <f t="shared" si="6"/>
        <v>865000</v>
      </c>
      <c r="AA94" s="1">
        <f t="shared" si="7"/>
        <v>661140</v>
      </c>
      <c r="AB94" s="216" t="s">
        <v>106</v>
      </c>
    </row>
    <row r="95" spans="1:28" ht="16" x14ac:dyDescent="0.2">
      <c r="A95" s="217" t="s">
        <v>80</v>
      </c>
      <c r="B95" s="345">
        <f>400000-300000</f>
        <v>100000</v>
      </c>
      <c r="C95" s="223"/>
      <c r="D95" s="1">
        <v>0</v>
      </c>
      <c r="E95" s="232"/>
      <c r="F95" s="3">
        <v>0</v>
      </c>
      <c r="G95" s="223"/>
      <c r="H95" s="1">
        <v>0</v>
      </c>
      <c r="I95" s="223"/>
      <c r="J95" s="2"/>
      <c r="K95" s="223">
        <v>0</v>
      </c>
      <c r="L95" s="1"/>
      <c r="M95" s="223"/>
      <c r="N95" s="1"/>
      <c r="O95" s="264"/>
      <c r="P95" s="1"/>
      <c r="Q95" s="241">
        <v>0</v>
      </c>
      <c r="R95" s="2"/>
      <c r="T95" s="2"/>
      <c r="U95" s="241"/>
      <c r="V95" s="1"/>
      <c r="W95" s="223"/>
      <c r="X95" s="4"/>
      <c r="Y95" s="262"/>
      <c r="Z95" s="4">
        <f t="shared" si="6"/>
        <v>100000</v>
      </c>
      <c r="AA95" s="1">
        <f>C95+E95+G95+O95+I95+K95+M95+Q95+S95+U95+W95+Y95</f>
        <v>0</v>
      </c>
      <c r="AB95" s="217" t="s">
        <v>80</v>
      </c>
    </row>
    <row r="96" spans="1:28" ht="16" x14ac:dyDescent="0.2">
      <c r="A96" s="97" t="s">
        <v>71</v>
      </c>
      <c r="B96" s="345">
        <v>25000</v>
      </c>
      <c r="C96" s="232"/>
      <c r="E96" s="232"/>
      <c r="F96" s="345">
        <v>50000</v>
      </c>
      <c r="G96" s="232"/>
      <c r="I96" s="223"/>
      <c r="J96" s="2"/>
      <c r="K96" s="223"/>
      <c r="L96" s="1"/>
      <c r="M96" s="223"/>
      <c r="N96" s="1"/>
      <c r="O96" s="264"/>
      <c r="P96" s="431"/>
      <c r="Q96" s="223"/>
      <c r="R96" s="345">
        <f>24000*1.2</f>
        <v>28800</v>
      </c>
      <c r="T96" s="1"/>
      <c r="U96" s="241"/>
      <c r="V96" s="1"/>
      <c r="W96" s="223"/>
      <c r="X96" s="4"/>
      <c r="Y96" s="262"/>
      <c r="Z96" s="4">
        <f t="shared" si="6"/>
        <v>103800</v>
      </c>
      <c r="AA96" s="1">
        <f t="shared" si="7"/>
        <v>0</v>
      </c>
      <c r="AB96" s="97" t="s">
        <v>71</v>
      </c>
    </row>
    <row r="97" spans="1:30" ht="16" x14ac:dyDescent="0.2">
      <c r="A97" s="97" t="s">
        <v>287</v>
      </c>
      <c r="C97" s="232"/>
      <c r="D97" s="345">
        <v>201960</v>
      </c>
      <c r="E97" s="232">
        <v>183600</v>
      </c>
      <c r="G97" s="232"/>
      <c r="I97" s="223"/>
      <c r="J97" s="2"/>
      <c r="K97" s="223">
        <v>0</v>
      </c>
      <c r="L97" s="1"/>
      <c r="M97" s="223"/>
      <c r="N97" s="1"/>
      <c r="O97" s="264"/>
      <c r="P97" s="431"/>
      <c r="Q97" s="223">
        <v>0</v>
      </c>
      <c r="R97" s="601"/>
      <c r="S97" s="231"/>
      <c r="T97" s="1"/>
      <c r="U97" s="241"/>
      <c r="V97" s="1"/>
      <c r="W97" s="223"/>
      <c r="X97" s="4"/>
      <c r="Y97" s="262"/>
      <c r="Z97" s="4">
        <f t="shared" si="6"/>
        <v>201960</v>
      </c>
      <c r="AA97" s="1">
        <f t="shared" si="7"/>
        <v>183600</v>
      </c>
      <c r="AB97" s="97" t="s">
        <v>37</v>
      </c>
    </row>
    <row r="98" spans="1:30" ht="17" thickBot="1" x14ac:dyDescent="0.25">
      <c r="A98" s="212" t="s">
        <v>95</v>
      </c>
      <c r="B98" s="193">
        <f>SUM(B16:B97)</f>
        <v>80877500</v>
      </c>
      <c r="C98" s="227">
        <f>SUM(C16:C97)</f>
        <v>41815749</v>
      </c>
      <c r="D98" s="193">
        <f>SUM(D16:D97)</f>
        <v>74301811.564781666</v>
      </c>
      <c r="E98" s="227">
        <f>SUM(E16:E97)</f>
        <v>52858247</v>
      </c>
      <c r="F98" s="193">
        <f>SUM(F16:F97)</f>
        <v>22867866.666666668</v>
      </c>
      <c r="G98" s="227">
        <f>SUM(G16:G97)</f>
        <v>12252192</v>
      </c>
      <c r="H98" s="193">
        <f>SUM(H16:H97)</f>
        <v>32493400</v>
      </c>
      <c r="I98" s="227">
        <f>SUM(I16:I97)</f>
        <v>26743056</v>
      </c>
      <c r="J98" s="208">
        <f>SUM(J16:J97)</f>
        <v>300000</v>
      </c>
      <c r="K98" s="237">
        <f>SUM(K16:K97)</f>
        <v>250800</v>
      </c>
      <c r="L98" s="207">
        <f>SUM(L16:L97)</f>
        <v>0</v>
      </c>
      <c r="M98" s="227">
        <f>SUM(M16:M97)</f>
        <v>0</v>
      </c>
      <c r="N98" s="193">
        <f>SUM(N16:N97)</f>
        <v>2605861</v>
      </c>
      <c r="O98" s="227">
        <f>SUM(O16:O97)</f>
        <v>3467437</v>
      </c>
      <c r="P98" s="193">
        <f>SUM(P16:P97)</f>
        <v>942000</v>
      </c>
      <c r="Q98" s="227">
        <f>SUM(Q16:Q97)</f>
        <v>411720</v>
      </c>
      <c r="R98" s="193">
        <f>SUM(R16:R97)</f>
        <v>5012400</v>
      </c>
      <c r="S98" s="227">
        <f>SUM(S16:S97)</f>
        <v>1694728</v>
      </c>
      <c r="T98" s="193">
        <f>SUM(T16:T97)</f>
        <v>785000</v>
      </c>
      <c r="U98" s="242">
        <f>SUM(U16:U97)</f>
        <v>464504</v>
      </c>
      <c r="V98" s="208">
        <f>SUM(V16:V97)</f>
        <v>400000</v>
      </c>
      <c r="W98" s="242">
        <f>SUM(W16:W97)</f>
        <v>139748</v>
      </c>
      <c r="X98" s="207">
        <f>SUM(X16:X97)</f>
        <v>2256000</v>
      </c>
      <c r="Y98" s="237">
        <f>SUM(Y16:Y97)</f>
        <v>361668</v>
      </c>
      <c r="Z98" s="194">
        <f>SUM(Z16:Z97)</f>
        <v>222841839.23144832</v>
      </c>
      <c r="AA98" s="195">
        <f>SUM(AA16:AA97)</f>
        <v>140459849</v>
      </c>
      <c r="AB98" s="212" t="s">
        <v>95</v>
      </c>
      <c r="AC98" s="5">
        <f>T98+R98+P98+N98+L98+J98+H98+F98+D98+B98</f>
        <v>220185839.23144835</v>
      </c>
      <c r="AD98" s="5"/>
    </row>
    <row r="99" spans="1:30" ht="16" x14ac:dyDescent="0.2">
      <c r="A99" s="213"/>
      <c r="B99" s="202"/>
      <c r="C99" s="233"/>
      <c r="D99" s="202">
        <f>D98-D37-D32-D24</f>
        <v>15041120.3579098</v>
      </c>
      <c r="E99" s="233">
        <f>E98-E37-E32-E24</f>
        <v>8663723</v>
      </c>
      <c r="F99" s="202"/>
      <c r="G99" s="233"/>
      <c r="H99" s="202"/>
      <c r="I99" s="233"/>
      <c r="J99" s="202"/>
      <c r="K99" s="233"/>
      <c r="L99" s="202"/>
      <c r="M99" s="233"/>
      <c r="N99" s="202"/>
      <c r="O99" s="233"/>
      <c r="P99" s="202"/>
      <c r="Q99" s="233"/>
      <c r="R99" s="202"/>
      <c r="S99" s="247"/>
      <c r="T99" s="202"/>
      <c r="U99" s="233"/>
      <c r="V99" s="207"/>
      <c r="W99" s="390"/>
      <c r="X99" s="417"/>
      <c r="Y99" s="415"/>
      <c r="Z99" s="202"/>
      <c r="AA99" s="94"/>
      <c r="AB99" s="213"/>
    </row>
    <row r="100" spans="1:30" ht="16" x14ac:dyDescent="0.2">
      <c r="A100" s="213" t="s">
        <v>86</v>
      </c>
      <c r="B100" s="202">
        <f>B98+B11</f>
        <v>105383692.8</v>
      </c>
      <c r="C100" s="233">
        <f>C98+C11</f>
        <v>59215648</v>
      </c>
      <c r="D100" s="202">
        <f>D98+D11</f>
        <v>119200296.84478167</v>
      </c>
      <c r="E100" s="233">
        <f>E98+E11</f>
        <v>79082034</v>
      </c>
      <c r="F100" s="202">
        <f>F98+F11</f>
        <v>111047250.76666667</v>
      </c>
      <c r="G100" s="233">
        <f>G98+G11</f>
        <v>56762706</v>
      </c>
      <c r="H100" s="202">
        <f>H98+H11</f>
        <v>86958516.909999996</v>
      </c>
      <c r="I100" s="233">
        <f>I98+I11</f>
        <v>65900549</v>
      </c>
      <c r="J100" s="202">
        <f>J98+J11</f>
        <v>300000</v>
      </c>
      <c r="K100" s="233">
        <f>K98+K11</f>
        <v>250800</v>
      </c>
      <c r="L100" s="202">
        <f>L98+L11</f>
        <v>1130000</v>
      </c>
      <c r="M100" s="233">
        <f>M98+M11</f>
        <v>0</v>
      </c>
      <c r="N100" s="202">
        <f>N98+N11</f>
        <v>2605861</v>
      </c>
      <c r="O100" s="233">
        <f>O98+O11</f>
        <v>6229707</v>
      </c>
      <c r="P100" s="202">
        <f>P98+P11</f>
        <v>9798921.8200000003</v>
      </c>
      <c r="Q100" s="233">
        <f>Q98+Q11</f>
        <v>6343390</v>
      </c>
      <c r="R100" s="202">
        <f>R98+R11</f>
        <v>12438477.620000001</v>
      </c>
      <c r="S100" s="233">
        <f>S98+S11</f>
        <v>7734181</v>
      </c>
      <c r="T100" s="202">
        <f>T98+T11</f>
        <v>10996368.279999999</v>
      </c>
      <c r="U100" s="233">
        <f>U98+U11</f>
        <v>7090260</v>
      </c>
      <c r="V100" s="202">
        <f>V98+V11</f>
        <v>2065016.66</v>
      </c>
      <c r="W100" s="233">
        <f>W98+W11</f>
        <v>139748</v>
      </c>
      <c r="X100" s="207">
        <f>X98+X11</f>
        <v>7688566.5700000003</v>
      </c>
      <c r="Y100" s="237"/>
      <c r="Z100" s="202">
        <f>Z98+Z11</f>
        <v>469612969.27144831</v>
      </c>
      <c r="AA100" s="94">
        <f>AA98+AA11</f>
        <v>291530896</v>
      </c>
      <c r="AB100" s="213" t="s">
        <v>86</v>
      </c>
    </row>
    <row r="101" spans="1:30" ht="51.5" customHeight="1" thickBot="1" x14ac:dyDescent="0.25">
      <c r="A101" s="213"/>
      <c r="B101" s="502" t="s">
        <v>100</v>
      </c>
      <c r="C101" s="511"/>
      <c r="D101" s="511" t="s">
        <v>101</v>
      </c>
      <c r="E101" s="511"/>
      <c r="F101" s="511" t="s">
        <v>102</v>
      </c>
      <c r="G101" s="511"/>
      <c r="H101" s="502" t="s">
        <v>104</v>
      </c>
      <c r="I101" s="503"/>
      <c r="J101" s="502" t="s">
        <v>99</v>
      </c>
      <c r="K101" s="503"/>
      <c r="L101" s="502" t="s">
        <v>105</v>
      </c>
      <c r="M101" s="503"/>
      <c r="N101" s="511" t="s">
        <v>103</v>
      </c>
      <c r="O101" s="503"/>
      <c r="P101" s="502" t="s">
        <v>98</v>
      </c>
      <c r="Q101" s="503"/>
      <c r="R101" s="502" t="s">
        <v>97</v>
      </c>
      <c r="S101" s="503"/>
      <c r="T101" s="502" t="s">
        <v>237</v>
      </c>
      <c r="U101" s="511"/>
      <c r="V101" s="504" t="s">
        <v>328</v>
      </c>
      <c r="W101" s="505"/>
      <c r="X101" s="504" t="s">
        <v>340</v>
      </c>
      <c r="Y101" s="505"/>
      <c r="Z101" s="511" t="s">
        <v>4</v>
      </c>
      <c r="AA101" s="503"/>
      <c r="AB101" s="213"/>
    </row>
    <row r="102" spans="1:30" ht="15.75" customHeight="1" x14ac:dyDescent="0.2">
      <c r="A102" s="219" t="s">
        <v>317</v>
      </c>
      <c r="B102" s="188" t="s">
        <v>347</v>
      </c>
      <c r="C102" s="226" t="s">
        <v>348</v>
      </c>
      <c r="D102" s="325" t="s">
        <v>347</v>
      </c>
      <c r="E102" s="226" t="s">
        <v>348</v>
      </c>
      <c r="F102" s="188" t="s">
        <v>347</v>
      </c>
      <c r="G102" s="226" t="s">
        <v>348</v>
      </c>
      <c r="H102" s="188" t="s">
        <v>347</v>
      </c>
      <c r="I102" s="226" t="s">
        <v>348</v>
      </c>
      <c r="J102" s="188" t="s">
        <v>347</v>
      </c>
      <c r="K102" s="226" t="s">
        <v>348</v>
      </c>
      <c r="L102" s="188" t="s">
        <v>347</v>
      </c>
      <c r="M102" s="226" t="s">
        <v>348</v>
      </c>
      <c r="N102" s="188" t="s">
        <v>347</v>
      </c>
      <c r="O102" s="226" t="s">
        <v>348</v>
      </c>
      <c r="P102" s="188" t="s">
        <v>347</v>
      </c>
      <c r="Q102" s="226" t="s">
        <v>348</v>
      </c>
      <c r="R102" s="188" t="s">
        <v>347</v>
      </c>
      <c r="S102" s="226" t="s">
        <v>348</v>
      </c>
      <c r="T102" s="188" t="s">
        <v>347</v>
      </c>
      <c r="U102" s="226" t="s">
        <v>348</v>
      </c>
      <c r="V102" s="323" t="s">
        <v>347</v>
      </c>
      <c r="W102" s="226" t="s">
        <v>348</v>
      </c>
      <c r="X102" s="323" t="s">
        <v>347</v>
      </c>
      <c r="Y102" s="226" t="s">
        <v>348</v>
      </c>
      <c r="Z102" s="188" t="s">
        <v>347</v>
      </c>
      <c r="AA102" s="203" t="s">
        <v>348</v>
      </c>
      <c r="AB102" s="219" t="s">
        <v>317</v>
      </c>
    </row>
    <row r="103" spans="1:30" ht="15.75" customHeight="1" x14ac:dyDescent="0.2">
      <c r="A103" s="13" t="s">
        <v>281</v>
      </c>
      <c r="B103" s="320"/>
      <c r="C103" s="321"/>
      <c r="E103" s="321"/>
      <c r="F103" s="197"/>
      <c r="G103" s="321"/>
      <c r="H103" s="320"/>
      <c r="I103" s="321"/>
      <c r="J103" s="320"/>
      <c r="K103" s="321"/>
      <c r="L103" s="320"/>
      <c r="M103" s="321"/>
      <c r="N103" s="320"/>
      <c r="O103" s="321"/>
      <c r="P103" s="602">
        <v>600000</v>
      </c>
      <c r="Q103" s="322"/>
      <c r="R103" s="101"/>
      <c r="S103" s="322"/>
      <c r="T103" s="323"/>
      <c r="U103" s="322"/>
      <c r="V103" s="197"/>
      <c r="W103" s="244"/>
      <c r="X103" s="324"/>
      <c r="Y103" s="407"/>
      <c r="Z103" s="324">
        <f>SUM(B103:U103)</f>
        <v>600000</v>
      </c>
      <c r="AA103" s="200"/>
      <c r="AB103" s="13" t="s">
        <v>281</v>
      </c>
    </row>
    <row r="104" spans="1:30" ht="15.75" customHeight="1" x14ac:dyDescent="0.2">
      <c r="A104" s="13" t="s">
        <v>316</v>
      </c>
      <c r="B104" s="320"/>
      <c r="C104" s="321"/>
      <c r="D104" s="101">
        <v>1574803</v>
      </c>
      <c r="E104" s="321"/>
      <c r="F104" s="320"/>
      <c r="G104" s="321"/>
      <c r="H104" s="320"/>
      <c r="I104" s="321"/>
      <c r="J104" s="320"/>
      <c r="K104" s="321"/>
      <c r="L104" s="320"/>
      <c r="M104" s="321"/>
      <c r="N104" s="320"/>
      <c r="O104" s="321"/>
      <c r="P104" s="320"/>
      <c r="Q104" s="322"/>
      <c r="R104" s="323"/>
      <c r="S104" s="322"/>
      <c r="T104" s="323"/>
      <c r="U104" s="322"/>
      <c r="V104" s="197"/>
      <c r="W104" s="244"/>
      <c r="X104" s="324"/>
      <c r="Y104" s="407"/>
      <c r="Z104" s="324">
        <f t="shared" ref="Z104:Z124" si="8">SUM(B104:U104)</f>
        <v>1574803</v>
      </c>
      <c r="AA104" s="200"/>
      <c r="AB104" s="13" t="s">
        <v>316</v>
      </c>
    </row>
    <row r="105" spans="1:30" ht="15.75" customHeight="1" x14ac:dyDescent="0.2">
      <c r="A105" s="13" t="s">
        <v>315</v>
      </c>
      <c r="B105" s="320"/>
      <c r="C105" s="321"/>
      <c r="D105" s="101">
        <v>133858</v>
      </c>
      <c r="E105" s="321"/>
      <c r="F105" s="320"/>
      <c r="G105" s="321"/>
      <c r="H105" s="320"/>
      <c r="I105" s="321"/>
      <c r="J105" s="320"/>
      <c r="K105" s="321"/>
      <c r="L105" s="320"/>
      <c r="M105" s="321"/>
      <c r="N105" s="320"/>
      <c r="O105" s="321"/>
      <c r="P105" s="320"/>
      <c r="Q105" s="322"/>
      <c r="R105" s="323"/>
      <c r="S105" s="322"/>
      <c r="T105" s="323"/>
      <c r="U105" s="322"/>
      <c r="V105" s="197"/>
      <c r="W105" s="244"/>
      <c r="X105" s="324"/>
      <c r="Y105" s="407"/>
      <c r="Z105" s="324">
        <f t="shared" si="8"/>
        <v>133858</v>
      </c>
      <c r="AA105" s="200"/>
      <c r="AB105" s="13" t="s">
        <v>315</v>
      </c>
    </row>
    <row r="106" spans="1:30" ht="15.75" customHeight="1" x14ac:dyDescent="0.2">
      <c r="A106" s="12" t="s">
        <v>292</v>
      </c>
      <c r="B106" s="602">
        <v>2500000</v>
      </c>
      <c r="C106" s="321"/>
      <c r="D106" s="197"/>
      <c r="E106" s="321"/>
      <c r="F106" s="326"/>
      <c r="G106" s="321"/>
      <c r="H106" s="320"/>
      <c r="I106" s="321"/>
      <c r="J106" s="320"/>
      <c r="K106" s="321"/>
      <c r="L106" s="320"/>
      <c r="M106" s="321"/>
      <c r="N106" s="320"/>
      <c r="O106" s="321"/>
      <c r="P106" s="320"/>
      <c r="Q106" s="322"/>
      <c r="R106" s="323"/>
      <c r="S106" s="322"/>
      <c r="T106" s="323"/>
      <c r="U106" s="322"/>
      <c r="V106" s="197"/>
      <c r="W106" s="244"/>
      <c r="X106" s="324"/>
      <c r="Y106" s="407"/>
      <c r="Z106" s="324">
        <f t="shared" si="8"/>
        <v>2500000</v>
      </c>
      <c r="AA106" s="200"/>
      <c r="AB106" s="12" t="s">
        <v>292</v>
      </c>
    </row>
    <row r="107" spans="1:30" ht="15.75" customHeight="1" x14ac:dyDescent="0.2">
      <c r="A107" s="13" t="s">
        <v>378</v>
      </c>
      <c r="B107" s="320"/>
      <c r="C107" s="321"/>
      <c r="D107" s="197"/>
      <c r="E107" s="321"/>
      <c r="F107" s="320"/>
      <c r="G107" s="321"/>
      <c r="H107" s="602">
        <v>600000</v>
      </c>
      <c r="I107" s="321"/>
      <c r="J107" s="320"/>
      <c r="K107" s="321"/>
      <c r="L107" s="320"/>
      <c r="M107" s="321"/>
      <c r="N107" s="320"/>
      <c r="O107" s="321"/>
      <c r="P107" s="320"/>
      <c r="Q107" s="322"/>
      <c r="R107" s="323"/>
      <c r="S107" s="322"/>
      <c r="T107" s="323"/>
      <c r="U107" s="322"/>
      <c r="V107" s="197"/>
      <c r="W107" s="244"/>
      <c r="X107" s="324"/>
      <c r="Y107" s="407"/>
      <c r="Z107" s="324">
        <f t="shared" si="8"/>
        <v>600000</v>
      </c>
      <c r="AA107" s="200"/>
      <c r="AB107" s="13" t="s">
        <v>378</v>
      </c>
    </row>
    <row r="108" spans="1:30" ht="15.75" customHeight="1" x14ac:dyDescent="0.2">
      <c r="A108" s="12" t="s">
        <v>379</v>
      </c>
      <c r="B108" s="320"/>
      <c r="C108" s="321"/>
      <c r="D108" s="603">
        <v>511811</v>
      </c>
      <c r="E108" s="321"/>
      <c r="F108" s="320"/>
      <c r="G108" s="321"/>
      <c r="H108" s="320"/>
      <c r="I108" s="321"/>
      <c r="J108" s="320"/>
      <c r="K108" s="321"/>
      <c r="L108" s="320"/>
      <c r="M108" s="321"/>
      <c r="N108" s="320"/>
      <c r="O108" s="321"/>
      <c r="P108" s="320"/>
      <c r="Q108" s="322"/>
      <c r="R108" s="323"/>
      <c r="S108" s="322"/>
      <c r="T108" s="323"/>
      <c r="U108" s="322"/>
      <c r="V108" s="197"/>
      <c r="W108" s="244"/>
      <c r="X108" s="324"/>
      <c r="Y108" s="407"/>
      <c r="Z108" s="324">
        <f t="shared" si="8"/>
        <v>511811</v>
      </c>
      <c r="AA108" s="200"/>
      <c r="AB108" s="12" t="s">
        <v>379</v>
      </c>
    </row>
    <row r="109" spans="1:30" ht="15.75" customHeight="1" x14ac:dyDescent="0.2">
      <c r="A109" s="12" t="s">
        <v>380</v>
      </c>
      <c r="B109" s="320"/>
      <c r="C109" s="321"/>
      <c r="D109" s="347"/>
      <c r="E109" s="321"/>
      <c r="F109" s="320"/>
      <c r="G109" s="321"/>
      <c r="H109" s="602">
        <v>650000</v>
      </c>
      <c r="I109" s="321"/>
      <c r="J109" s="320"/>
      <c r="K109" s="321"/>
      <c r="L109" s="320"/>
      <c r="M109" s="321"/>
      <c r="N109" s="320"/>
      <c r="O109" s="321"/>
      <c r="P109" s="320"/>
      <c r="Q109" s="322"/>
      <c r="R109" s="323"/>
      <c r="S109" s="322"/>
      <c r="T109" s="323"/>
      <c r="U109" s="322"/>
      <c r="V109" s="197"/>
      <c r="W109" s="244"/>
      <c r="X109" s="324"/>
      <c r="Y109" s="407"/>
      <c r="Z109" s="324">
        <f t="shared" si="8"/>
        <v>650000</v>
      </c>
      <c r="AA109" s="200"/>
      <c r="AB109" s="12" t="s">
        <v>380</v>
      </c>
    </row>
    <row r="110" spans="1:30" ht="15.75" customHeight="1" x14ac:dyDescent="0.2">
      <c r="A110" s="12"/>
      <c r="B110" s="320"/>
      <c r="C110" s="321"/>
      <c r="D110" s="1"/>
      <c r="E110" s="321"/>
      <c r="F110" s="320"/>
      <c r="G110" s="321"/>
      <c r="H110" s="320"/>
      <c r="I110" s="321"/>
      <c r="J110" s="320"/>
      <c r="K110" s="321"/>
      <c r="L110" s="320"/>
      <c r="M110" s="321"/>
      <c r="N110" s="320"/>
      <c r="O110" s="321"/>
      <c r="P110" s="320"/>
      <c r="Q110" s="322"/>
      <c r="R110" s="323"/>
      <c r="S110" s="322"/>
      <c r="T110" s="323"/>
      <c r="U110" s="322"/>
      <c r="V110" s="197"/>
      <c r="W110" s="244"/>
      <c r="X110" s="324"/>
      <c r="Y110" s="407"/>
      <c r="Z110" s="324">
        <f t="shared" si="8"/>
        <v>0</v>
      </c>
      <c r="AA110" s="200"/>
      <c r="AB110" s="12"/>
    </row>
    <row r="111" spans="1:30" ht="15.75" customHeight="1" x14ac:dyDescent="0.2">
      <c r="A111" s="6"/>
      <c r="B111" s="320"/>
      <c r="C111" s="321"/>
      <c r="D111" s="1"/>
      <c r="E111" s="321"/>
      <c r="F111" s="320"/>
      <c r="G111" s="321"/>
      <c r="H111" s="320"/>
      <c r="I111" s="321"/>
      <c r="J111" s="320"/>
      <c r="K111" s="321"/>
      <c r="L111" s="320"/>
      <c r="M111" s="321"/>
      <c r="N111" s="320"/>
      <c r="O111" s="321"/>
      <c r="P111" s="320"/>
      <c r="Q111" s="322"/>
      <c r="R111" s="323"/>
      <c r="S111" s="322"/>
      <c r="T111" s="323"/>
      <c r="U111" s="322"/>
      <c r="V111" s="197"/>
      <c r="W111" s="244"/>
      <c r="X111" s="324"/>
      <c r="Y111" s="407"/>
      <c r="Z111" s="324">
        <f t="shared" si="8"/>
        <v>0</v>
      </c>
      <c r="AA111" s="200"/>
      <c r="AB111" s="6"/>
    </row>
    <row r="112" spans="1:30" ht="15.75" customHeight="1" x14ac:dyDescent="0.2">
      <c r="A112" s="13"/>
      <c r="B112" s="320"/>
      <c r="C112" s="321"/>
      <c r="D112" s="370"/>
      <c r="E112" s="321"/>
      <c r="F112" s="320"/>
      <c r="G112" s="321"/>
      <c r="H112" s="320"/>
      <c r="I112" s="321"/>
      <c r="J112" s="320"/>
      <c r="K112" s="321"/>
      <c r="L112" s="320"/>
      <c r="M112" s="321"/>
      <c r="N112" s="320"/>
      <c r="O112" s="321"/>
      <c r="P112" s="320"/>
      <c r="Q112" s="322"/>
      <c r="R112" s="323"/>
      <c r="S112" s="322"/>
      <c r="T112" s="323"/>
      <c r="U112" s="322"/>
      <c r="V112" s="197"/>
      <c r="W112" s="244"/>
      <c r="X112" s="324"/>
      <c r="Y112" s="407"/>
      <c r="Z112" s="324">
        <f t="shared" si="8"/>
        <v>0</v>
      </c>
      <c r="AA112" s="200"/>
      <c r="AB112" s="13"/>
    </row>
    <row r="113" spans="1:29" ht="15.75" customHeight="1" x14ac:dyDescent="0.2">
      <c r="A113" s="13"/>
      <c r="B113" s="320"/>
      <c r="C113" s="321"/>
      <c r="D113" s="197"/>
      <c r="E113" s="321"/>
      <c r="F113" s="320"/>
      <c r="G113" s="321"/>
      <c r="H113" s="320"/>
      <c r="I113" s="321"/>
      <c r="J113" s="320"/>
      <c r="K113" s="321"/>
      <c r="L113" s="320"/>
      <c r="M113" s="321"/>
      <c r="N113" s="320"/>
      <c r="O113" s="321"/>
      <c r="P113" s="320"/>
      <c r="Q113" s="322"/>
      <c r="R113" s="323"/>
      <c r="S113" s="322"/>
      <c r="T113" s="323"/>
      <c r="U113" s="322"/>
      <c r="V113" s="197"/>
      <c r="W113" s="244"/>
      <c r="X113" s="324"/>
      <c r="Y113" s="407"/>
      <c r="Z113" s="324">
        <f t="shared" si="8"/>
        <v>0</v>
      </c>
      <c r="AA113" s="200"/>
      <c r="AB113" s="13"/>
    </row>
    <row r="114" spans="1:29" ht="15.75" customHeight="1" x14ac:dyDescent="0.2">
      <c r="A114" s="7"/>
      <c r="B114" s="320"/>
      <c r="C114" s="321"/>
      <c r="D114" s="197"/>
      <c r="E114" s="321"/>
      <c r="F114" s="320"/>
      <c r="G114" s="321"/>
      <c r="H114" s="320"/>
      <c r="I114" s="321"/>
      <c r="J114" s="320"/>
      <c r="K114" s="321"/>
      <c r="L114" s="320"/>
      <c r="M114" s="321"/>
      <c r="N114" s="320"/>
      <c r="O114" s="321"/>
      <c r="P114" s="320"/>
      <c r="Q114" s="322"/>
      <c r="R114" s="323"/>
      <c r="S114" s="322"/>
      <c r="T114" s="323"/>
      <c r="U114" s="322"/>
      <c r="V114" s="197"/>
      <c r="W114" s="244"/>
      <c r="X114" s="324"/>
      <c r="Y114" s="407"/>
      <c r="Z114" s="324">
        <f t="shared" si="8"/>
        <v>0</v>
      </c>
      <c r="AA114" s="200"/>
      <c r="AB114" s="7"/>
    </row>
    <row r="115" spans="1:29" ht="15.75" customHeight="1" x14ac:dyDescent="0.2">
      <c r="A115" s="7"/>
      <c r="B115" s="320"/>
      <c r="C115" s="321"/>
      <c r="D115" s="197"/>
      <c r="E115" s="321"/>
      <c r="F115" s="320"/>
      <c r="G115" s="321"/>
      <c r="H115" s="320"/>
      <c r="I115" s="321"/>
      <c r="J115" s="320"/>
      <c r="K115" s="321"/>
      <c r="L115" s="320"/>
      <c r="M115" s="321"/>
      <c r="N115" s="320"/>
      <c r="O115" s="321"/>
      <c r="P115" s="320"/>
      <c r="Q115" s="322"/>
      <c r="R115" s="323"/>
      <c r="S115" s="322"/>
      <c r="T115" s="323"/>
      <c r="U115" s="322"/>
      <c r="V115" s="197"/>
      <c r="W115" s="244"/>
      <c r="X115" s="324"/>
      <c r="Y115" s="407"/>
      <c r="Z115" s="324">
        <f t="shared" si="8"/>
        <v>0</v>
      </c>
      <c r="AA115" s="200"/>
      <c r="AB115" s="7"/>
    </row>
    <row r="116" spans="1:29" ht="15.75" customHeight="1" x14ac:dyDescent="0.2">
      <c r="A116" s="13"/>
      <c r="B116" s="320"/>
      <c r="C116" s="321"/>
      <c r="D116" s="197"/>
      <c r="E116" s="321"/>
      <c r="F116" s="320"/>
      <c r="G116" s="321"/>
      <c r="H116" s="320"/>
      <c r="I116" s="321"/>
      <c r="J116" s="320"/>
      <c r="K116" s="321"/>
      <c r="L116" s="320"/>
      <c r="M116" s="321"/>
      <c r="N116" s="320"/>
      <c r="O116" s="321"/>
      <c r="P116" s="320"/>
      <c r="Q116" s="322"/>
      <c r="R116" s="323"/>
      <c r="S116" s="322"/>
      <c r="T116" s="323"/>
      <c r="U116" s="322"/>
      <c r="V116" s="197"/>
      <c r="W116" s="244"/>
      <c r="X116" s="324"/>
      <c r="Y116" s="407"/>
      <c r="Z116" s="324">
        <f t="shared" si="8"/>
        <v>0</v>
      </c>
      <c r="AA116" s="200"/>
      <c r="AB116" s="13"/>
    </row>
    <row r="117" spans="1:29" ht="15.75" customHeight="1" x14ac:dyDescent="0.2">
      <c r="A117" s="13"/>
      <c r="B117" s="320"/>
      <c r="C117" s="321"/>
      <c r="D117" s="197"/>
      <c r="E117" s="321"/>
      <c r="F117" s="320"/>
      <c r="G117" s="321"/>
      <c r="H117" s="320"/>
      <c r="I117" s="321"/>
      <c r="J117" s="320"/>
      <c r="K117" s="321"/>
      <c r="L117" s="320"/>
      <c r="M117" s="321"/>
      <c r="N117" s="320"/>
      <c r="O117" s="321"/>
      <c r="P117" s="320"/>
      <c r="Q117" s="322"/>
      <c r="R117" s="323"/>
      <c r="S117" s="322"/>
      <c r="T117" s="323"/>
      <c r="U117" s="322"/>
      <c r="V117" s="197"/>
      <c r="W117" s="244"/>
      <c r="X117" s="324"/>
      <c r="Y117" s="407"/>
      <c r="Z117" s="324">
        <f t="shared" si="8"/>
        <v>0</v>
      </c>
      <c r="AA117" s="200"/>
      <c r="AB117" s="13"/>
    </row>
    <row r="118" spans="1:29" ht="15.75" customHeight="1" x14ac:dyDescent="0.2">
      <c r="A118" s="13"/>
      <c r="B118" s="320"/>
      <c r="C118" s="321"/>
      <c r="D118" s="197"/>
      <c r="E118" s="321"/>
      <c r="F118" s="320"/>
      <c r="G118" s="321"/>
      <c r="H118" s="320"/>
      <c r="I118" s="321"/>
      <c r="J118" s="320"/>
      <c r="K118" s="321"/>
      <c r="L118" s="320"/>
      <c r="M118" s="321"/>
      <c r="N118" s="320"/>
      <c r="O118" s="321"/>
      <c r="P118" s="320"/>
      <c r="Q118" s="322"/>
      <c r="R118" s="323"/>
      <c r="S118" s="322"/>
      <c r="T118" s="323"/>
      <c r="U118" s="322"/>
      <c r="V118" s="197"/>
      <c r="W118" s="244"/>
      <c r="X118" s="324"/>
      <c r="Y118" s="407"/>
      <c r="Z118" s="324">
        <f t="shared" si="8"/>
        <v>0</v>
      </c>
      <c r="AA118" s="200"/>
      <c r="AB118" s="13"/>
    </row>
    <row r="119" spans="1:29" ht="15.75" customHeight="1" x14ac:dyDescent="0.2">
      <c r="A119" s="13"/>
      <c r="B119" s="182"/>
      <c r="C119" s="230"/>
      <c r="D119" s="326"/>
      <c r="E119" s="230"/>
      <c r="F119" s="182"/>
      <c r="G119" s="230"/>
      <c r="H119" s="182"/>
      <c r="I119" s="230"/>
      <c r="J119" s="182"/>
      <c r="K119" s="230"/>
      <c r="L119" s="182"/>
      <c r="M119" s="230"/>
      <c r="N119" s="182"/>
      <c r="O119" s="230"/>
      <c r="P119" s="182"/>
      <c r="Q119" s="240"/>
      <c r="R119" s="200"/>
      <c r="S119" s="246"/>
      <c r="T119" s="200"/>
      <c r="U119" s="240"/>
      <c r="V119" s="201"/>
      <c r="W119" s="246"/>
      <c r="X119" s="418"/>
      <c r="Y119" s="261"/>
      <c r="Z119" s="324">
        <f t="shared" si="8"/>
        <v>0</v>
      </c>
      <c r="AA119" s="1"/>
      <c r="AB119" s="13"/>
    </row>
    <row r="120" spans="1:29" ht="15.75" customHeight="1" x14ac:dyDescent="0.2">
      <c r="A120" s="7"/>
      <c r="B120" s="182"/>
      <c r="C120" s="230"/>
      <c r="D120" s="1"/>
      <c r="E120" s="230"/>
      <c r="F120" s="182"/>
      <c r="G120" s="230"/>
      <c r="H120" s="182"/>
      <c r="I120" s="230"/>
      <c r="J120" s="182"/>
      <c r="K120" s="230"/>
      <c r="L120" s="182"/>
      <c r="M120" s="230"/>
      <c r="N120" s="182"/>
      <c r="O120" s="230"/>
      <c r="P120" s="182"/>
      <c r="Q120" s="240"/>
      <c r="R120" s="200"/>
      <c r="S120" s="246"/>
      <c r="T120" s="200"/>
      <c r="U120" s="240"/>
      <c r="V120" s="201"/>
      <c r="W120" s="246"/>
      <c r="X120" s="418"/>
      <c r="Y120" s="261"/>
      <c r="Z120" s="324">
        <f t="shared" si="8"/>
        <v>0</v>
      </c>
      <c r="AA120" s="1"/>
      <c r="AB120" s="7"/>
    </row>
    <row r="121" spans="1:29" ht="15.75" customHeight="1" x14ac:dyDescent="0.2">
      <c r="A121" s="7"/>
      <c r="B121" s="182"/>
      <c r="C121" s="230"/>
      <c r="D121" s="1"/>
      <c r="E121" s="230"/>
      <c r="F121" s="182"/>
      <c r="G121" s="230"/>
      <c r="H121" s="182"/>
      <c r="I121" s="230"/>
      <c r="J121" s="182"/>
      <c r="K121" s="230"/>
      <c r="L121" s="182"/>
      <c r="M121" s="230"/>
      <c r="N121" s="182"/>
      <c r="O121" s="230"/>
      <c r="P121" s="182"/>
      <c r="Q121" s="240"/>
      <c r="R121" s="200"/>
      <c r="S121" s="246"/>
      <c r="T121" s="200"/>
      <c r="U121" s="240"/>
      <c r="V121" s="201"/>
      <c r="W121" s="246"/>
      <c r="X121" s="418"/>
      <c r="Y121" s="261"/>
      <c r="Z121" s="324">
        <f t="shared" si="8"/>
        <v>0</v>
      </c>
      <c r="AA121" s="1"/>
      <c r="AB121" s="7"/>
    </row>
    <row r="122" spans="1:29" ht="15.75" customHeight="1" x14ac:dyDescent="0.2">
      <c r="A122" s="7"/>
      <c r="B122" s="181"/>
      <c r="C122" s="234"/>
      <c r="D122" s="1"/>
      <c r="E122" s="234"/>
      <c r="F122" s="181"/>
      <c r="G122" s="230"/>
      <c r="H122" s="182"/>
      <c r="I122" s="230"/>
      <c r="J122" s="182"/>
      <c r="K122" s="230"/>
      <c r="L122" s="182"/>
      <c r="M122" s="230"/>
      <c r="N122" s="182"/>
      <c r="O122" s="230"/>
      <c r="P122" s="182"/>
      <c r="Q122" s="240"/>
      <c r="R122" s="200"/>
      <c r="S122" s="246"/>
      <c r="T122" s="200"/>
      <c r="U122" s="240"/>
      <c r="V122" s="201"/>
      <c r="W122" s="246"/>
      <c r="X122" s="418"/>
      <c r="Y122" s="261"/>
      <c r="Z122" s="324">
        <f t="shared" si="8"/>
        <v>0</v>
      </c>
      <c r="AA122" s="1"/>
      <c r="AB122" s="7"/>
    </row>
    <row r="123" spans="1:29" ht="15.75" customHeight="1" x14ac:dyDescent="0.2">
      <c r="A123" s="7"/>
      <c r="B123" s="181"/>
      <c r="C123" s="234"/>
      <c r="D123" s="370"/>
      <c r="E123" s="234"/>
      <c r="F123" s="181"/>
      <c r="G123" s="230"/>
      <c r="H123" s="342"/>
      <c r="I123" s="230"/>
      <c r="J123" s="182"/>
      <c r="K123" s="230"/>
      <c r="L123" s="182"/>
      <c r="M123" s="230"/>
      <c r="N123" s="182"/>
      <c r="O123" s="230"/>
      <c r="P123" s="182"/>
      <c r="Q123" s="240"/>
      <c r="R123" s="200"/>
      <c r="S123" s="246"/>
      <c r="T123" s="200"/>
      <c r="U123" s="240"/>
      <c r="V123" s="201"/>
      <c r="W123" s="246"/>
      <c r="X123" s="418"/>
      <c r="Y123" s="261"/>
      <c r="Z123" s="324">
        <f t="shared" si="8"/>
        <v>0</v>
      </c>
      <c r="AA123" s="1"/>
      <c r="AB123" s="7"/>
    </row>
    <row r="124" spans="1:29" ht="15.75" customHeight="1" x14ac:dyDescent="0.2">
      <c r="A124" s="340"/>
      <c r="B124" s="181"/>
      <c r="C124" s="234"/>
      <c r="D124" s="181"/>
      <c r="E124" s="234"/>
      <c r="F124" s="341"/>
      <c r="G124" s="230"/>
      <c r="H124" s="182"/>
      <c r="I124" s="230"/>
      <c r="J124" s="182"/>
      <c r="K124" s="230"/>
      <c r="L124" s="182"/>
      <c r="M124" s="230"/>
      <c r="N124" s="182"/>
      <c r="O124" s="230"/>
      <c r="P124" s="182"/>
      <c r="Q124" s="240"/>
      <c r="R124" s="200"/>
      <c r="S124" s="246"/>
      <c r="T124" s="200"/>
      <c r="U124" s="240"/>
      <c r="V124" s="201"/>
      <c r="W124" s="246"/>
      <c r="X124" s="418"/>
      <c r="Y124" s="261"/>
      <c r="Z124" s="324">
        <f t="shared" si="8"/>
        <v>0</v>
      </c>
      <c r="AA124" s="1"/>
      <c r="AB124" s="340"/>
    </row>
    <row r="125" spans="1:29" s="202" customFormat="1" ht="17" thickBot="1" x14ac:dyDescent="0.25">
      <c r="A125" s="220" t="s">
        <v>46</v>
      </c>
      <c r="B125" s="193">
        <f>SUM(B103:B124)</f>
        <v>2500000</v>
      </c>
      <c r="C125" s="227">
        <f>SUM(C119:C124)</f>
        <v>0</v>
      </c>
      <c r="D125" s="193">
        <f>SUM(D103:D124)</f>
        <v>2220472</v>
      </c>
      <c r="E125" s="227">
        <f>SUM(E119:E124)</f>
        <v>0</v>
      </c>
      <c r="F125" s="193">
        <f>SUM(F103:F124)</f>
        <v>0</v>
      </c>
      <c r="G125" s="227">
        <f>SUM(G119:G124)</f>
        <v>0</v>
      </c>
      <c r="H125" s="193">
        <f>SUM(H103:H124)</f>
        <v>1250000</v>
      </c>
      <c r="I125" s="227">
        <f t="shared" ref="I125:O125" si="9">SUM(I119:I124)</f>
        <v>0</v>
      </c>
      <c r="J125" s="193">
        <f t="shared" si="9"/>
        <v>0</v>
      </c>
      <c r="K125" s="227">
        <f t="shared" si="9"/>
        <v>0</v>
      </c>
      <c r="L125" s="193">
        <f t="shared" si="9"/>
        <v>0</v>
      </c>
      <c r="M125" s="227">
        <f t="shared" si="9"/>
        <v>0</v>
      </c>
      <c r="N125" s="193">
        <f t="shared" si="9"/>
        <v>0</v>
      </c>
      <c r="O125" s="227">
        <f t="shared" si="9"/>
        <v>0</v>
      </c>
      <c r="P125" s="193">
        <f>SUM(P103:P124)</f>
        <v>600000</v>
      </c>
      <c r="Q125" s="227">
        <f>SUM(Q119:Q124)</f>
        <v>0</v>
      </c>
      <c r="R125" s="193">
        <f>SUM(R103:R124)</f>
        <v>0</v>
      </c>
      <c r="S125" s="227">
        <f>SUM(S119:S124)</f>
        <v>0</v>
      </c>
      <c r="T125" s="193">
        <f>SUM(T119:T124)</f>
        <v>0</v>
      </c>
      <c r="U125" s="242">
        <f>SUM(U119:U124)</f>
        <v>0</v>
      </c>
      <c r="V125" s="208">
        <f t="shared" ref="V125:W125" si="10">SUM(V119:V124)</f>
        <v>0</v>
      </c>
      <c r="W125" s="242">
        <f t="shared" si="10"/>
        <v>0</v>
      </c>
      <c r="X125" s="193"/>
      <c r="Y125" s="227"/>
      <c r="Z125" s="420">
        <f>B125+D125+F125+N125+H125+J125+L125+P125+T125+R125+V125</f>
        <v>6570472</v>
      </c>
      <c r="AA125" s="195">
        <f>SUM(AA119:AA124)</f>
        <v>0</v>
      </c>
      <c r="AB125" s="220" t="s">
        <v>46</v>
      </c>
      <c r="AC125" s="5">
        <f>SUM(Z119:Z124)</f>
        <v>0</v>
      </c>
    </row>
    <row r="126" spans="1:29" s="204" customFormat="1" ht="21" x14ac:dyDescent="0.2">
      <c r="A126" s="206" t="s">
        <v>47</v>
      </c>
      <c r="B126" s="204">
        <f>B125+B98+B11</f>
        <v>107883692.8</v>
      </c>
      <c r="C126" s="235">
        <f>C125+C98+C11</f>
        <v>59215648</v>
      </c>
      <c r="D126" s="204">
        <f>D125+D98+D11</f>
        <v>121420768.84478167</v>
      </c>
      <c r="E126" s="235">
        <f>E125+E98+E11</f>
        <v>79082034</v>
      </c>
      <c r="F126" s="204">
        <f>F125+F98+F11</f>
        <v>111047250.76666667</v>
      </c>
      <c r="G126" s="235">
        <f>G125+G98+G11</f>
        <v>56762706</v>
      </c>
      <c r="H126" s="204">
        <f>H125+H98+H11</f>
        <v>88208516.909999996</v>
      </c>
      <c r="I126" s="235">
        <f>I125+I98+I11</f>
        <v>65900549</v>
      </c>
      <c r="J126" s="204">
        <f>J125+J98+J11</f>
        <v>300000</v>
      </c>
      <c r="K126" s="235">
        <f>K125+K98+K11</f>
        <v>250800</v>
      </c>
      <c r="L126" s="204">
        <f>L125+L98+L11</f>
        <v>1130000</v>
      </c>
      <c r="M126" s="235">
        <f>M125+M98+M11</f>
        <v>0</v>
      </c>
      <c r="N126" s="204">
        <f>N125+N98+N11</f>
        <v>2605861</v>
      </c>
      <c r="O126" s="235">
        <f>O125+O98+O11</f>
        <v>6229707</v>
      </c>
      <c r="P126" s="204">
        <f>P125+P98+P11</f>
        <v>10398921.82</v>
      </c>
      <c r="Q126" s="235">
        <f>Q125+Q98+Q11</f>
        <v>6343390</v>
      </c>
      <c r="R126" s="204">
        <f>R125+R98+R11</f>
        <v>12438477.620000001</v>
      </c>
      <c r="S126" s="235">
        <f>S125+S98+S11</f>
        <v>7734181</v>
      </c>
      <c r="T126" s="204">
        <f>T125+T98+T11</f>
        <v>10996368.279999999</v>
      </c>
      <c r="U126" s="235">
        <f>U125+U98+U11</f>
        <v>7090260</v>
      </c>
      <c r="V126" s="204">
        <f>V125+V98+V11</f>
        <v>2065016.66</v>
      </c>
      <c r="W126" s="235">
        <f>W125+W98+W11</f>
        <v>139748</v>
      </c>
      <c r="X126" s="204">
        <f>X125+X98+X11</f>
        <v>7688566.5700000003</v>
      </c>
      <c r="Y126" s="235">
        <f>Y125+Y98+Y11</f>
        <v>2781873</v>
      </c>
      <c r="Z126" s="204">
        <f>Z125+Z98+Z11</f>
        <v>476183441.27144831</v>
      </c>
      <c r="AA126" s="204">
        <f>AA125+AA98+AA11</f>
        <v>291530896</v>
      </c>
      <c r="AB126" s="206" t="s">
        <v>47</v>
      </c>
    </row>
    <row r="127" spans="1:29" s="204" customFormat="1" ht="21" x14ac:dyDescent="0.2">
      <c r="A127" s="206"/>
      <c r="C127" s="235"/>
      <c r="E127" s="235"/>
      <c r="G127" s="235"/>
      <c r="I127" s="235"/>
      <c r="K127" s="235"/>
      <c r="M127" s="235"/>
      <c r="O127" s="235"/>
      <c r="Q127" s="235"/>
      <c r="S127" s="235"/>
      <c r="U127" s="235"/>
      <c r="W127" s="235"/>
      <c r="Y127" s="235"/>
      <c r="Z127" s="94"/>
      <c r="AA127" s="94">
        <f>AA126-AA125</f>
        <v>291530896</v>
      </c>
      <c r="AB127" s="206"/>
    </row>
    <row r="128" spans="1:29" s="204" customFormat="1" ht="21" x14ac:dyDescent="0.2">
      <c r="A128" s="206" t="s">
        <v>69</v>
      </c>
      <c r="B128" s="204">
        <f>($H$126*B13)</f>
        <v>21170044.058399998</v>
      </c>
      <c r="C128" s="235">
        <f>($I$126*C13)</f>
        <v>15816131.76</v>
      </c>
      <c r="D128" s="204">
        <f>($H$126*D13)</f>
        <v>18523788.551099997</v>
      </c>
      <c r="E128" s="235">
        <f>($I$126*E13)</f>
        <v>13839115.289999999</v>
      </c>
      <c r="F128" s="204">
        <f>($H$126*F13)</f>
        <v>19846916.304749999</v>
      </c>
      <c r="G128" s="235">
        <f>($I$126*G13)</f>
        <v>14827623.525</v>
      </c>
      <c r="H128" s="204">
        <f>($H$126*H13)</f>
        <v>0</v>
      </c>
      <c r="I128" s="235">
        <f>($I$126*I13)</f>
        <v>0</v>
      </c>
      <c r="J128" s="204">
        <f>($H$126*J13)</f>
        <v>882085.16909999994</v>
      </c>
      <c r="K128" s="235">
        <f>($I$126*K13)</f>
        <v>659005.49</v>
      </c>
      <c r="L128" s="204">
        <f>($H$126*L13)</f>
        <v>1323127.7536499999</v>
      </c>
      <c r="M128" s="235">
        <f>($I$126*M13)</f>
        <v>988508.23499999999</v>
      </c>
      <c r="N128" s="204">
        <f>($H$126*N13)</f>
        <v>882085.16909999994</v>
      </c>
      <c r="O128" s="235">
        <f>($I$126*O13)</f>
        <v>659005.49</v>
      </c>
      <c r="P128" s="204">
        <f>($H$126*P13)</f>
        <v>4410425.8454999998</v>
      </c>
      <c r="Q128" s="235">
        <f>($I$126*Q13)</f>
        <v>3295027.45</v>
      </c>
      <c r="R128" s="204">
        <f>($H$126*R13)</f>
        <v>2646255.5072999997</v>
      </c>
      <c r="S128" s="235">
        <f>($I$126*S13)</f>
        <v>1977016.47</v>
      </c>
      <c r="T128" s="204">
        <f>($H$126*T13)</f>
        <v>4410425.8454999998</v>
      </c>
      <c r="U128" s="235">
        <f>($I$126*U13)</f>
        <v>3295027.45</v>
      </c>
      <c r="V128" s="204">
        <f>($H$126*V13)</f>
        <v>1764170.3381999999</v>
      </c>
      <c r="W128" s="235">
        <f>($I$126*W13)</f>
        <v>1318010.98</v>
      </c>
      <c r="X128" s="204">
        <f>($H$126*X13)</f>
        <v>12349192.3674</v>
      </c>
      <c r="Y128" s="235">
        <f>($I$126*Y13)</f>
        <v>9226076.8600000013</v>
      </c>
      <c r="Z128" s="204">
        <f>($H$126*Z13)</f>
        <v>88208516.909999996</v>
      </c>
      <c r="AA128" s="1">
        <f>C128+E128+G128+O128+I128+K128+M128+Q128+S128+U128</f>
        <v>55356461.160000004</v>
      </c>
      <c r="AB128" s="206" t="s">
        <v>69</v>
      </c>
    </row>
    <row r="129" spans="1:28" s="204" customFormat="1" ht="21" x14ac:dyDescent="0.2">
      <c r="A129" s="206"/>
      <c r="B129" s="204">
        <f>B100+B128</f>
        <v>126553736.85839999</v>
      </c>
      <c r="C129" s="235"/>
      <c r="E129" s="235"/>
      <c r="G129" s="235"/>
      <c r="I129" s="235"/>
      <c r="K129" s="235"/>
      <c r="M129" s="235"/>
      <c r="O129" s="235"/>
      <c r="Q129" s="235"/>
      <c r="S129" s="235"/>
      <c r="U129" s="235"/>
      <c r="W129" s="235"/>
      <c r="Y129" s="235"/>
      <c r="AA129" s="205"/>
      <c r="AB129" s="206"/>
    </row>
    <row r="130" spans="1:28" s="204" customFormat="1" ht="32" x14ac:dyDescent="0.2">
      <c r="A130" s="206" t="s">
        <v>70</v>
      </c>
      <c r="B130" s="204">
        <f>B126+B128</f>
        <v>129053736.85839999</v>
      </c>
      <c r="C130" s="235">
        <f>C126+C128</f>
        <v>75031779.760000005</v>
      </c>
      <c r="D130" s="204">
        <f t="shared" ref="D130:U130" si="11">D126+D128</f>
        <v>139944557.39588165</v>
      </c>
      <c r="E130" s="235">
        <f>E126+E128</f>
        <v>92921149.289999992</v>
      </c>
      <c r="F130" s="204">
        <f>F126+F128</f>
        <v>130894167.07141666</v>
      </c>
      <c r="G130" s="235">
        <f t="shared" si="11"/>
        <v>71590329.525000006</v>
      </c>
      <c r="H130" s="204">
        <f t="shared" si="11"/>
        <v>88208516.909999996</v>
      </c>
      <c r="I130" s="235">
        <f t="shared" si="11"/>
        <v>65900549</v>
      </c>
      <c r="J130" s="204">
        <f>J126+J128</f>
        <v>1182085.1691000001</v>
      </c>
      <c r="K130" s="235">
        <f t="shared" si="11"/>
        <v>909805.49</v>
      </c>
      <c r="L130" s="204">
        <f>L126+L128</f>
        <v>2453127.7536499999</v>
      </c>
      <c r="M130" s="235">
        <f t="shared" si="11"/>
        <v>988508.23499999999</v>
      </c>
      <c r="N130" s="204">
        <f>N126+N128</f>
        <v>3487946.1691000001</v>
      </c>
      <c r="O130" s="235">
        <f t="shared" si="11"/>
        <v>6888712.4900000002</v>
      </c>
      <c r="P130" s="204">
        <f>P126+P128</f>
        <v>14809347.6655</v>
      </c>
      <c r="Q130" s="235">
        <f t="shared" si="11"/>
        <v>9638417.4499999993</v>
      </c>
      <c r="R130" s="204">
        <f>R126+R128</f>
        <v>15084733.127300002</v>
      </c>
      <c r="S130" s="235">
        <f t="shared" si="11"/>
        <v>9711197.4700000007</v>
      </c>
      <c r="T130" s="204">
        <f>T126+T128</f>
        <v>15406794.125499999</v>
      </c>
      <c r="U130" s="235">
        <f t="shared" si="11"/>
        <v>10385287.449999999</v>
      </c>
      <c r="V130" s="204">
        <f>V126+V128</f>
        <v>3829186.9981999998</v>
      </c>
      <c r="W130" s="235">
        <f t="shared" ref="W130" si="12">W126+W128</f>
        <v>1457758.98</v>
      </c>
      <c r="X130" s="204">
        <f>X126+X128</f>
        <v>20037758.937399998</v>
      </c>
      <c r="Y130" s="235">
        <f t="shared" ref="Y130" si="13">Y126+Y128</f>
        <v>12007949.860000001</v>
      </c>
      <c r="Z130" s="209">
        <f>B130+D130+F130+N130+J130+L130+P130+T130+R130+V130+X130</f>
        <v>476183441.27144831</v>
      </c>
      <c r="AA130" s="205"/>
      <c r="AB130" s="206" t="s">
        <v>70</v>
      </c>
    </row>
    <row r="131" spans="1:28" ht="51.5" customHeight="1" thickBot="1" x14ac:dyDescent="0.25">
      <c r="A131" s="206"/>
      <c r="B131" s="502" t="s">
        <v>100</v>
      </c>
      <c r="C131" s="511"/>
      <c r="D131" s="511" t="s">
        <v>101</v>
      </c>
      <c r="E131" s="511"/>
      <c r="F131" s="511" t="s">
        <v>102</v>
      </c>
      <c r="G131" s="511"/>
      <c r="H131" s="502" t="s">
        <v>104</v>
      </c>
      <c r="I131" s="503"/>
      <c r="J131" s="502" t="s">
        <v>99</v>
      </c>
      <c r="K131" s="503"/>
      <c r="L131" s="502" t="s">
        <v>105</v>
      </c>
      <c r="M131" s="503"/>
      <c r="N131" s="511" t="s">
        <v>103</v>
      </c>
      <c r="O131" s="503"/>
      <c r="P131" s="502" t="s">
        <v>98</v>
      </c>
      <c r="Q131" s="503"/>
      <c r="R131" s="502" t="s">
        <v>97</v>
      </c>
      <c r="S131" s="503"/>
      <c r="T131" s="502" t="s">
        <v>237</v>
      </c>
      <c r="U131" s="511"/>
      <c r="V131" s="504" t="s">
        <v>328</v>
      </c>
      <c r="W131" s="505"/>
      <c r="X131" s="504" t="s">
        <v>340</v>
      </c>
      <c r="Y131" s="515"/>
      <c r="Z131" s="511" t="s">
        <v>4</v>
      </c>
      <c r="AA131" s="503"/>
      <c r="AB131" s="206"/>
    </row>
    <row r="132" spans="1:28" ht="15.75" customHeight="1" x14ac:dyDescent="0.2">
      <c r="A132" s="214" t="s">
        <v>48</v>
      </c>
      <c r="B132" s="188" t="s">
        <v>347</v>
      </c>
      <c r="C132" s="226" t="s">
        <v>348</v>
      </c>
      <c r="D132" s="188" t="s">
        <v>347</v>
      </c>
      <c r="E132" s="226" t="s">
        <v>348</v>
      </c>
      <c r="F132" s="188" t="s">
        <v>347</v>
      </c>
      <c r="G132" s="226" t="s">
        <v>348</v>
      </c>
      <c r="H132" s="188" t="s">
        <v>347</v>
      </c>
      <c r="I132" s="226" t="s">
        <v>348</v>
      </c>
      <c r="J132" s="188" t="s">
        <v>347</v>
      </c>
      <c r="K132" s="226" t="s">
        <v>348</v>
      </c>
      <c r="L132" s="188" t="s">
        <v>347</v>
      </c>
      <c r="M132" s="226" t="s">
        <v>348</v>
      </c>
      <c r="N132" s="188" t="s">
        <v>347</v>
      </c>
      <c r="O132" s="226" t="s">
        <v>348</v>
      </c>
      <c r="P132" s="188" t="s">
        <v>347</v>
      </c>
      <c r="Q132" s="226" t="s">
        <v>348</v>
      </c>
      <c r="R132" s="189" t="s">
        <v>347</v>
      </c>
      <c r="S132" s="226" t="s">
        <v>348</v>
      </c>
      <c r="T132" s="189" t="s">
        <v>347</v>
      </c>
      <c r="U132" s="226" t="s">
        <v>348</v>
      </c>
      <c r="V132" s="320" t="s">
        <v>347</v>
      </c>
      <c r="W132" s="226" t="s">
        <v>348</v>
      </c>
      <c r="X132" s="324" t="s">
        <v>347</v>
      </c>
      <c r="Y132" s="226" t="s">
        <v>348</v>
      </c>
      <c r="Z132" s="190" t="s">
        <v>347</v>
      </c>
      <c r="AA132" s="191" t="s">
        <v>348</v>
      </c>
      <c r="AB132" s="214" t="s">
        <v>48</v>
      </c>
    </row>
    <row r="133" spans="1:28" ht="16" x14ac:dyDescent="0.2">
      <c r="A133" s="97" t="s">
        <v>53</v>
      </c>
      <c r="C133" s="223"/>
      <c r="D133" s="345">
        <f>Konyha!B22</f>
        <v>727580.35790980665</v>
      </c>
      <c r="E133" s="223">
        <v>423846</v>
      </c>
      <c r="F133" s="1"/>
      <c r="G133" s="223"/>
      <c r="H133" s="1"/>
      <c r="I133" s="241"/>
      <c r="J133" s="1"/>
      <c r="K133" s="223"/>
      <c r="L133" s="1"/>
      <c r="M133" s="223"/>
      <c r="N133" s="1"/>
      <c r="O133" s="223"/>
      <c r="P133" s="1"/>
      <c r="Q133" s="241"/>
      <c r="R133" s="1"/>
      <c r="S133" s="241"/>
      <c r="T133" s="2"/>
      <c r="U133" s="241"/>
      <c r="V133" s="1"/>
      <c r="W133" s="223"/>
      <c r="X133" s="4"/>
      <c r="Y133" s="262"/>
      <c r="Z133" s="4">
        <f>B133+D133+F133+N133+H133+J133+L133+P133+T133+R133+V133+X133</f>
        <v>727580.35790980665</v>
      </c>
      <c r="AA133" s="1">
        <f>C133+E133+G133+O133+I133+K133+M133+Q133+S133+U133+W133+Y133</f>
        <v>423846</v>
      </c>
      <c r="AB133" s="97" t="s">
        <v>53</v>
      </c>
    </row>
    <row r="134" spans="1:28" ht="16" x14ac:dyDescent="0.2">
      <c r="A134" s="97" t="s">
        <v>54</v>
      </c>
      <c r="C134" s="223"/>
      <c r="D134" s="345">
        <f>Konyha!C22</f>
        <v>749504.02290622762</v>
      </c>
      <c r="E134" s="223">
        <v>432074</v>
      </c>
      <c r="F134" s="1"/>
      <c r="G134" s="223"/>
      <c r="H134" s="1"/>
      <c r="I134" s="241"/>
      <c r="J134" s="1"/>
      <c r="K134" s="223"/>
      <c r="L134" s="1"/>
      <c r="M134" s="223"/>
      <c r="N134" s="1"/>
      <c r="O134" s="223"/>
      <c r="P134" s="1"/>
      <c r="Q134" s="241"/>
      <c r="R134" s="1"/>
      <c r="S134" s="241"/>
      <c r="T134" s="2"/>
      <c r="U134" s="241"/>
      <c r="V134" s="1"/>
      <c r="W134" s="223"/>
      <c r="X134" s="4"/>
      <c r="Y134" s="262"/>
      <c r="Z134" s="4">
        <f t="shared" ref="Z134:Z173" si="14">B134+D134+F134+N134+H134+J134+L134+P134+T134+R134+V134+X134</f>
        <v>749504.02290622762</v>
      </c>
      <c r="AA134" s="1">
        <f t="shared" ref="AA134:AA175" si="15">C134+E134+G134+O134+I134+K134+M134+Q134+S134+U134+W134+Y134</f>
        <v>432074</v>
      </c>
      <c r="AB134" s="97" t="s">
        <v>54</v>
      </c>
    </row>
    <row r="135" spans="1:28" ht="16" x14ac:dyDescent="0.2">
      <c r="A135" s="97" t="s">
        <v>96</v>
      </c>
      <c r="C135" s="223"/>
      <c r="D135" s="345">
        <f>Konyha!H26</f>
        <v>107702.36220472441</v>
      </c>
      <c r="E135" s="223">
        <f>529200+398045</f>
        <v>927245</v>
      </c>
      <c r="F135" s="1"/>
      <c r="G135" s="223"/>
      <c r="H135" s="1"/>
      <c r="I135" s="241"/>
      <c r="J135" s="1"/>
      <c r="K135" s="223"/>
      <c r="L135" s="1"/>
      <c r="M135" s="223"/>
      <c r="N135" s="1"/>
      <c r="O135" s="223"/>
      <c r="P135" s="1"/>
      <c r="Q135" s="241"/>
      <c r="R135" s="1"/>
      <c r="S135" s="241"/>
      <c r="T135" s="2"/>
      <c r="U135" s="241"/>
      <c r="V135" s="1"/>
      <c r="W135" s="223"/>
      <c r="X135" s="4"/>
      <c r="Y135" s="262"/>
      <c r="Z135" s="4">
        <f t="shared" si="14"/>
        <v>107702.36220472441</v>
      </c>
      <c r="AA135" s="1">
        <f t="shared" si="15"/>
        <v>927245</v>
      </c>
      <c r="AB135" s="97" t="s">
        <v>96</v>
      </c>
    </row>
    <row r="136" spans="1:28" ht="16" x14ac:dyDescent="0.2">
      <c r="A136" s="97" t="s">
        <v>230</v>
      </c>
      <c r="C136" s="223"/>
      <c r="D136" s="345">
        <v>917000</v>
      </c>
      <c r="E136" s="223">
        <v>392357</v>
      </c>
      <c r="F136" s="1"/>
      <c r="G136" s="223"/>
      <c r="H136" s="1"/>
      <c r="I136" s="241"/>
      <c r="J136" s="1"/>
      <c r="K136" s="223"/>
      <c r="L136" s="1"/>
      <c r="M136" s="223"/>
      <c r="N136" s="1"/>
      <c r="O136" s="223"/>
      <c r="P136" s="1"/>
      <c r="Q136" s="241"/>
      <c r="R136" s="1"/>
      <c r="S136" s="241"/>
      <c r="T136" s="2"/>
      <c r="U136" s="241"/>
      <c r="V136" s="1"/>
      <c r="W136" s="223"/>
      <c r="X136" s="4"/>
      <c r="Y136" s="262"/>
      <c r="Z136" s="4">
        <f t="shared" si="14"/>
        <v>917000</v>
      </c>
      <c r="AA136" s="1">
        <f t="shared" si="15"/>
        <v>392357</v>
      </c>
      <c r="AB136" s="97" t="s">
        <v>230</v>
      </c>
    </row>
    <row r="137" spans="1:28" ht="32" x14ac:dyDescent="0.2">
      <c r="A137" s="97" t="s">
        <v>90</v>
      </c>
      <c r="C137" s="223"/>
      <c r="D137" s="345">
        <f>Konyha!G22</f>
        <v>23467046.456692912</v>
      </c>
      <c r="E137" s="223">
        <v>17643262</v>
      </c>
      <c r="F137" s="1"/>
      <c r="G137" s="223"/>
      <c r="H137" s="1"/>
      <c r="I137" s="241"/>
      <c r="J137" s="1"/>
      <c r="K137" s="223"/>
      <c r="L137" s="1"/>
      <c r="M137" s="223"/>
      <c r="N137" s="1"/>
      <c r="O137" s="223"/>
      <c r="P137" s="1"/>
      <c r="Q137" s="241"/>
      <c r="R137" s="1"/>
      <c r="S137" s="241"/>
      <c r="T137" s="2"/>
      <c r="U137" s="241"/>
      <c r="V137" s="1"/>
      <c r="W137" s="223"/>
      <c r="X137" s="4"/>
      <c r="Y137" s="262"/>
      <c r="Z137" s="4">
        <f t="shared" si="14"/>
        <v>23467046.456692912</v>
      </c>
      <c r="AA137" s="1">
        <f t="shared" si="15"/>
        <v>17643262</v>
      </c>
      <c r="AB137" s="97" t="s">
        <v>90</v>
      </c>
    </row>
    <row r="138" spans="1:28" ht="32" x14ac:dyDescent="0.2">
      <c r="A138" s="97" t="s">
        <v>113</v>
      </c>
      <c r="C138" s="223"/>
      <c r="D138" s="345">
        <f>Konyha!G22</f>
        <v>23467046.456692912</v>
      </c>
      <c r="E138" s="223">
        <v>18835481</v>
      </c>
      <c r="F138" s="1"/>
      <c r="G138" s="223"/>
      <c r="H138" s="1"/>
      <c r="I138" s="241"/>
      <c r="J138" s="1"/>
      <c r="K138" s="223"/>
      <c r="L138" s="1"/>
      <c r="M138" s="223"/>
      <c r="N138" s="1"/>
      <c r="O138" s="223"/>
      <c r="P138" s="1"/>
      <c r="Q138" s="241"/>
      <c r="R138" s="1"/>
      <c r="S138" s="241"/>
      <c r="T138" s="2"/>
      <c r="U138" s="241"/>
      <c r="V138" s="1"/>
      <c r="W138" s="223"/>
      <c r="X138" s="4"/>
      <c r="Y138" s="262"/>
      <c r="Z138" s="4">
        <f t="shared" si="14"/>
        <v>23467046.456692912</v>
      </c>
      <c r="AA138" s="1">
        <f t="shared" si="15"/>
        <v>18835481</v>
      </c>
      <c r="AB138" s="97" t="s">
        <v>113</v>
      </c>
    </row>
    <row r="139" spans="1:28" ht="16" x14ac:dyDescent="0.2">
      <c r="A139" s="97" t="s">
        <v>64</v>
      </c>
      <c r="C139" s="223"/>
      <c r="D139" s="345">
        <f>Konyha!F22</f>
        <v>8155757.0078740157</v>
      </c>
      <c r="E139" s="223">
        <v>6281312</v>
      </c>
      <c r="F139" s="1"/>
      <c r="G139" s="223"/>
      <c r="H139" s="1"/>
      <c r="I139" s="241"/>
      <c r="J139" s="1"/>
      <c r="K139" s="223"/>
      <c r="L139" s="1"/>
      <c r="M139" s="223"/>
      <c r="N139" s="1"/>
      <c r="O139" s="223"/>
      <c r="P139" s="1"/>
      <c r="Q139" s="241"/>
      <c r="R139" s="1"/>
      <c r="S139" s="241"/>
      <c r="T139" s="2"/>
      <c r="U139" s="241"/>
      <c r="V139" s="1"/>
      <c r="W139" s="223"/>
      <c r="X139" s="4"/>
      <c r="Y139" s="262"/>
      <c r="Z139" s="4">
        <f t="shared" si="14"/>
        <v>8155757.0078740157</v>
      </c>
      <c r="AA139" s="1">
        <f t="shared" si="15"/>
        <v>6281312</v>
      </c>
      <c r="AB139" s="97" t="s">
        <v>64</v>
      </c>
    </row>
    <row r="140" spans="1:28" ht="16" x14ac:dyDescent="0.2">
      <c r="A140" s="97" t="s">
        <v>50</v>
      </c>
      <c r="C140" s="223"/>
      <c r="D140" s="345">
        <f>Konyha!I22</f>
        <v>49378144.679608583</v>
      </c>
      <c r="E140" s="223">
        <v>39551891</v>
      </c>
      <c r="F140" s="1"/>
      <c r="G140" s="223"/>
      <c r="H140" s="1"/>
      <c r="I140" s="241"/>
      <c r="J140" s="1"/>
      <c r="K140" s="223"/>
      <c r="L140" s="1"/>
      <c r="M140" s="223"/>
      <c r="N140" s="1"/>
      <c r="O140" s="223"/>
      <c r="P140" s="1"/>
      <c r="Q140" s="241"/>
      <c r="R140" s="1"/>
      <c r="S140" s="241"/>
      <c r="T140" s="2"/>
      <c r="U140" s="241"/>
      <c r="V140" s="1"/>
      <c r="W140" s="223"/>
      <c r="X140" s="4"/>
      <c r="Y140" s="262"/>
      <c r="Z140" s="4">
        <f t="shared" si="14"/>
        <v>49378144.679608583</v>
      </c>
      <c r="AA140" s="1">
        <f t="shared" si="15"/>
        <v>39551891</v>
      </c>
      <c r="AB140" s="97" t="s">
        <v>50</v>
      </c>
    </row>
    <row r="141" spans="1:28" ht="16" x14ac:dyDescent="0.2">
      <c r="A141" s="97" t="s">
        <v>362</v>
      </c>
      <c r="C141" s="223"/>
      <c r="D141" s="345">
        <v>1250880</v>
      </c>
      <c r="E141" s="223"/>
      <c r="F141" s="1"/>
      <c r="G141" s="223"/>
      <c r="H141" s="1"/>
      <c r="I141" s="241"/>
      <c r="J141" s="1"/>
      <c r="K141" s="223"/>
      <c r="L141" s="1"/>
      <c r="M141" s="223"/>
      <c r="N141" s="1"/>
      <c r="O141" s="223"/>
      <c r="P141" s="1"/>
      <c r="Q141" s="241"/>
      <c r="R141" s="1"/>
      <c r="S141" s="241"/>
      <c r="T141" s="2"/>
      <c r="U141" s="241"/>
      <c r="V141" s="1"/>
      <c r="W141" s="223"/>
      <c r="X141" s="4"/>
      <c r="Y141" s="262"/>
      <c r="Z141" s="4">
        <f t="shared" si="14"/>
        <v>1250880</v>
      </c>
      <c r="AA141" s="1">
        <f t="shared" si="15"/>
        <v>0</v>
      </c>
      <c r="AB141" s="97" t="s">
        <v>362</v>
      </c>
    </row>
    <row r="142" spans="1:28" ht="16" x14ac:dyDescent="0.2">
      <c r="A142" s="97" t="s">
        <v>233</v>
      </c>
      <c r="B142" s="345">
        <v>600000</v>
      </c>
      <c r="C142" s="223">
        <v>235435</v>
      </c>
      <c r="E142" s="223"/>
      <c r="F142" s="1"/>
      <c r="G142" s="223"/>
      <c r="H142" s="1"/>
      <c r="I142" s="241"/>
      <c r="J142" s="1"/>
      <c r="K142" s="223"/>
      <c r="L142" s="1"/>
      <c r="M142" s="223"/>
      <c r="N142" s="1"/>
      <c r="O142" s="223"/>
      <c r="P142" s="1"/>
      <c r="Q142" s="241"/>
      <c r="R142" s="1"/>
      <c r="S142" s="241"/>
      <c r="T142" s="2"/>
      <c r="U142" s="241"/>
      <c r="V142" s="1"/>
      <c r="W142" s="223"/>
      <c r="X142" s="4"/>
      <c r="Y142" s="262"/>
      <c r="Z142" s="4">
        <f t="shared" si="14"/>
        <v>600000</v>
      </c>
      <c r="AA142" s="1">
        <f t="shared" si="15"/>
        <v>235435</v>
      </c>
      <c r="AB142" s="97" t="s">
        <v>233</v>
      </c>
    </row>
    <row r="143" spans="1:28" ht="16" x14ac:dyDescent="0.2">
      <c r="A143" s="6" t="s">
        <v>75</v>
      </c>
      <c r="C143" s="223"/>
      <c r="E143" s="223"/>
      <c r="F143" s="1"/>
      <c r="G143" s="223"/>
      <c r="H143" s="1"/>
      <c r="I143" s="241"/>
      <c r="J143" s="1"/>
      <c r="K143" s="223"/>
      <c r="L143" s="346">
        <v>150000</v>
      </c>
      <c r="M143" s="223"/>
      <c r="N143" s="1"/>
      <c r="O143" s="223"/>
      <c r="P143" s="1"/>
      <c r="Q143" s="241"/>
      <c r="R143" s="1"/>
      <c r="S143" s="241"/>
      <c r="T143" s="2"/>
      <c r="U143" s="241"/>
      <c r="V143" s="1"/>
      <c r="W143" s="223"/>
      <c r="X143" s="4"/>
      <c r="Y143" s="262"/>
      <c r="Z143" s="4">
        <f t="shared" si="14"/>
        <v>150000</v>
      </c>
      <c r="AA143" s="1">
        <f t="shared" si="15"/>
        <v>0</v>
      </c>
      <c r="AB143" s="6" t="s">
        <v>75</v>
      </c>
    </row>
    <row r="144" spans="1:28" ht="16" x14ac:dyDescent="0.2">
      <c r="A144" s="6" t="s">
        <v>108</v>
      </c>
      <c r="C144" s="223"/>
      <c r="E144" s="223"/>
      <c r="F144" s="1"/>
      <c r="G144" s="223"/>
      <c r="H144" s="1"/>
      <c r="I144" s="241"/>
      <c r="J144" s="1"/>
      <c r="K144" s="223"/>
      <c r="L144" s="1"/>
      <c r="M144" s="223"/>
      <c r="N144" s="1"/>
      <c r="O144" s="223"/>
      <c r="P144" s="1"/>
      <c r="Q144" s="241"/>
      <c r="R144" s="1"/>
      <c r="S144" s="241"/>
      <c r="T144" s="2"/>
      <c r="U144" s="241"/>
      <c r="V144" s="1"/>
      <c r="W144" s="223"/>
      <c r="X144" s="4"/>
      <c r="Y144" s="262"/>
      <c r="Z144" s="4">
        <f t="shared" si="14"/>
        <v>0</v>
      </c>
      <c r="AA144" s="1">
        <f t="shared" si="15"/>
        <v>0</v>
      </c>
      <c r="AB144" s="6" t="s">
        <v>108</v>
      </c>
    </row>
    <row r="145" spans="1:28" ht="32" x14ac:dyDescent="0.2">
      <c r="A145" s="7" t="s">
        <v>344</v>
      </c>
      <c r="C145" s="223"/>
      <c r="E145" s="223"/>
      <c r="F145" s="1"/>
      <c r="G145" s="223"/>
      <c r="H145" s="1"/>
      <c r="I145" s="241"/>
      <c r="J145" s="1"/>
      <c r="K145" s="223"/>
      <c r="L145" s="346">
        <f>500000+3000000</f>
        <v>3500000</v>
      </c>
      <c r="M145" s="223">
        <v>411708</v>
      </c>
      <c r="N145" s="1"/>
      <c r="O145" s="223"/>
      <c r="P145" s="1"/>
      <c r="Q145" s="241"/>
      <c r="R145" s="1"/>
      <c r="S145" s="241"/>
      <c r="T145" s="2"/>
      <c r="U145" s="241"/>
      <c r="V145" s="1"/>
      <c r="W145" s="223"/>
      <c r="X145" s="4"/>
      <c r="Y145" s="262"/>
      <c r="Z145" s="4">
        <f t="shared" si="14"/>
        <v>3500000</v>
      </c>
      <c r="AA145" s="1">
        <f t="shared" si="15"/>
        <v>411708</v>
      </c>
      <c r="AB145" s="7" t="s">
        <v>344</v>
      </c>
    </row>
    <row r="146" spans="1:28" ht="16" x14ac:dyDescent="0.2">
      <c r="A146" s="7" t="s">
        <v>327</v>
      </c>
      <c r="C146" s="223"/>
      <c r="E146" s="223"/>
      <c r="F146" s="1"/>
      <c r="G146" s="223"/>
      <c r="H146" s="1"/>
      <c r="I146" s="241"/>
      <c r="J146" s="1"/>
      <c r="K146" s="223"/>
      <c r="L146" s="346">
        <v>204000</v>
      </c>
      <c r="M146" s="223">
        <v>204000</v>
      </c>
      <c r="N146" s="1"/>
      <c r="O146" s="223"/>
      <c r="P146" s="1"/>
      <c r="Q146" s="241"/>
      <c r="R146" s="1"/>
      <c r="S146" s="241"/>
      <c r="T146" s="2"/>
      <c r="U146" s="241"/>
      <c r="V146" s="1"/>
      <c r="W146" s="223"/>
      <c r="X146" s="427">
        <v>1200000</v>
      </c>
      <c r="Y146" s="262">
        <v>1146000</v>
      </c>
      <c r="Z146" s="4">
        <f t="shared" si="14"/>
        <v>1404000</v>
      </c>
      <c r="AA146" s="1">
        <f t="shared" si="15"/>
        <v>1350000</v>
      </c>
      <c r="AB146" s="7" t="s">
        <v>327</v>
      </c>
    </row>
    <row r="147" spans="1:28" ht="16" x14ac:dyDescent="0.2">
      <c r="A147" s="7" t="s">
        <v>229</v>
      </c>
      <c r="C147" s="223"/>
      <c r="E147" s="223"/>
      <c r="F147" s="1"/>
      <c r="G147" s="223"/>
      <c r="H147" s="1"/>
      <c r="I147" s="241"/>
      <c r="J147" s="1"/>
      <c r="K147" s="223"/>
      <c r="L147" s="1"/>
      <c r="M147" s="223"/>
      <c r="N147" s="1"/>
      <c r="O147" s="223"/>
      <c r="P147" s="1"/>
      <c r="Q147" s="241"/>
      <c r="R147" s="1"/>
      <c r="S147" s="241"/>
      <c r="T147" s="2"/>
      <c r="U147" s="241"/>
      <c r="V147" s="1"/>
      <c r="W147" s="223"/>
      <c r="X147" s="4"/>
      <c r="Y147" s="262"/>
      <c r="Z147" s="4">
        <f t="shared" si="14"/>
        <v>0</v>
      </c>
      <c r="AA147" s="1">
        <f>C147+E147+G147+O147+I147+K147+M147+Q147+S147+U147+W147+Y147</f>
        <v>0</v>
      </c>
      <c r="AB147" s="7" t="s">
        <v>229</v>
      </c>
    </row>
    <row r="148" spans="1:28" ht="16" x14ac:dyDescent="0.2">
      <c r="A148" s="428" t="s">
        <v>345</v>
      </c>
      <c r="C148" s="223"/>
      <c r="E148" s="223"/>
      <c r="F148" s="1"/>
      <c r="G148" s="223"/>
      <c r="H148" s="1"/>
      <c r="I148" s="241"/>
      <c r="J148" s="1"/>
      <c r="K148" s="223"/>
      <c r="L148" s="1"/>
      <c r="M148" s="223"/>
      <c r="N148" s="1"/>
      <c r="O148" s="223"/>
      <c r="P148" s="1"/>
      <c r="Q148" s="241"/>
      <c r="R148" s="1"/>
      <c r="S148" s="241"/>
      <c r="T148" s="2"/>
      <c r="U148" s="241"/>
      <c r="V148" s="1"/>
      <c r="W148" s="223"/>
      <c r="X148" s="427">
        <f>12*150000</f>
        <v>1800000</v>
      </c>
      <c r="Y148" s="262">
        <v>600000</v>
      </c>
      <c r="Z148" s="4">
        <f t="shared" si="14"/>
        <v>1800000</v>
      </c>
      <c r="AA148" s="1">
        <f>C148+E148+G148+O148+I148+K148+M148+Q148+S148+U148+W148+Y148</f>
        <v>600000</v>
      </c>
      <c r="AB148" s="428" t="s">
        <v>346</v>
      </c>
    </row>
    <row r="149" spans="1:28" ht="16" x14ac:dyDescent="0.2">
      <c r="A149" s="97" t="s">
        <v>66</v>
      </c>
      <c r="B149" s="345">
        <v>13787500</v>
      </c>
      <c r="C149" s="223">
        <v>9812500</v>
      </c>
      <c r="E149" s="223"/>
      <c r="F149" s="1"/>
      <c r="G149" s="223"/>
      <c r="H149" s="1"/>
      <c r="I149" s="241"/>
      <c r="J149" s="1"/>
      <c r="K149" s="223"/>
      <c r="L149" s="1"/>
      <c r="M149" s="223"/>
      <c r="N149" s="1"/>
      <c r="O149" s="223"/>
      <c r="P149" s="1"/>
      <c r="Q149" s="241"/>
      <c r="R149" s="1"/>
      <c r="S149" s="241"/>
      <c r="T149" s="2"/>
      <c r="U149" s="241"/>
      <c r="V149" s="1"/>
      <c r="W149" s="223"/>
      <c r="X149" s="4"/>
      <c r="Y149" s="262"/>
      <c r="Z149" s="4">
        <f t="shared" si="14"/>
        <v>13787500</v>
      </c>
      <c r="AA149" s="1">
        <f t="shared" si="15"/>
        <v>9812500</v>
      </c>
      <c r="AB149" s="97" t="s">
        <v>66</v>
      </c>
    </row>
    <row r="150" spans="1:28" ht="16" x14ac:dyDescent="0.2">
      <c r="A150" s="97" t="s">
        <v>234</v>
      </c>
      <c r="B150" s="345">
        <v>280315</v>
      </c>
      <c r="C150" s="223">
        <v>229922</v>
      </c>
      <c r="E150" s="223"/>
      <c r="F150" s="1"/>
      <c r="G150" s="223"/>
      <c r="H150" s="1"/>
      <c r="I150" s="241"/>
      <c r="J150" s="1"/>
      <c r="K150" s="223"/>
      <c r="L150" s="1"/>
      <c r="M150" s="223"/>
      <c r="N150" s="1"/>
      <c r="O150" s="223"/>
      <c r="P150" s="1"/>
      <c r="Q150" s="241"/>
      <c r="R150" s="1"/>
      <c r="S150" s="241"/>
      <c r="T150" s="2"/>
      <c r="U150" s="241"/>
      <c r="V150" s="1"/>
      <c r="W150" s="223"/>
      <c r="X150" s="4"/>
      <c r="Y150" s="262"/>
      <c r="Z150" s="4">
        <f t="shared" si="14"/>
        <v>280315</v>
      </c>
      <c r="AA150" s="1">
        <f t="shared" si="15"/>
        <v>229922</v>
      </c>
      <c r="AB150" s="97" t="s">
        <v>234</v>
      </c>
    </row>
    <row r="151" spans="1:28" ht="16" x14ac:dyDescent="0.2">
      <c r="A151" s="6" t="s">
        <v>56</v>
      </c>
      <c r="C151" s="223"/>
      <c r="E151" s="223"/>
      <c r="F151" s="1"/>
      <c r="G151" s="223"/>
      <c r="H151" s="1"/>
      <c r="I151" s="241"/>
      <c r="J151" s="346">
        <v>432000</v>
      </c>
      <c r="K151" s="223">
        <v>94901</v>
      </c>
      <c r="L151" s="1"/>
      <c r="M151" s="223"/>
      <c r="N151" s="1"/>
      <c r="O151" s="223"/>
      <c r="P151" s="1"/>
      <c r="Q151" s="241"/>
      <c r="R151" s="1"/>
      <c r="S151" s="241"/>
      <c r="T151" s="2"/>
      <c r="U151" s="241"/>
      <c r="V151" s="1"/>
      <c r="W151" s="223"/>
      <c r="X151" s="4"/>
      <c r="Y151" s="262"/>
      <c r="Z151" s="4">
        <f t="shared" si="14"/>
        <v>432000</v>
      </c>
      <c r="AA151" s="1">
        <f t="shared" si="15"/>
        <v>94901</v>
      </c>
      <c r="AB151" s="6" t="s">
        <v>56</v>
      </c>
    </row>
    <row r="152" spans="1:28" ht="16" x14ac:dyDescent="0.2">
      <c r="A152" s="97" t="s">
        <v>235</v>
      </c>
      <c r="B152" s="441">
        <v>35775000</v>
      </c>
      <c r="C152" s="223">
        <v>20377303</v>
      </c>
      <c r="E152" s="223"/>
      <c r="F152" s="1"/>
      <c r="G152" s="223"/>
      <c r="H152" s="1"/>
      <c r="I152" s="241"/>
      <c r="J152" s="1"/>
      <c r="K152" s="223"/>
      <c r="L152" s="1"/>
      <c r="M152" s="223"/>
      <c r="N152" s="1"/>
      <c r="O152" s="223"/>
      <c r="P152" s="1"/>
      <c r="Q152" s="241"/>
      <c r="R152" s="1"/>
      <c r="S152" s="241"/>
      <c r="T152" s="2"/>
      <c r="U152" s="241"/>
      <c r="V152" s="1"/>
      <c r="W152" s="223"/>
      <c r="X152" s="4"/>
      <c r="Y152" s="262"/>
      <c r="Z152" s="4">
        <f t="shared" si="14"/>
        <v>35775000</v>
      </c>
      <c r="AA152" s="1">
        <f t="shared" si="15"/>
        <v>20377303</v>
      </c>
      <c r="AB152" s="97" t="s">
        <v>235</v>
      </c>
    </row>
    <row r="153" spans="1:28" ht="16" x14ac:dyDescent="0.2">
      <c r="A153" s="97" t="s">
        <v>283</v>
      </c>
      <c r="C153" s="223"/>
      <c r="E153" s="223"/>
      <c r="F153" s="1"/>
      <c r="G153" s="223"/>
      <c r="H153" s="1"/>
      <c r="I153" s="241"/>
      <c r="J153" s="1"/>
      <c r="K153" s="223"/>
      <c r="L153" s="1"/>
      <c r="M153" s="223"/>
      <c r="N153" s="1"/>
      <c r="O153" s="223"/>
      <c r="P153" s="1"/>
      <c r="Q153" s="241"/>
      <c r="R153" s="1"/>
      <c r="S153" s="241"/>
      <c r="T153" s="2"/>
      <c r="U153" s="241"/>
      <c r="V153" s="1"/>
      <c r="W153" s="223"/>
      <c r="X153" s="4"/>
      <c r="Y153" s="262"/>
      <c r="Z153" s="4">
        <f t="shared" si="14"/>
        <v>0</v>
      </c>
      <c r="AA153" s="1">
        <f t="shared" si="15"/>
        <v>0</v>
      </c>
      <c r="AB153" s="97" t="s">
        <v>283</v>
      </c>
    </row>
    <row r="154" spans="1:28" ht="16" x14ac:dyDescent="0.2">
      <c r="A154" s="6" t="s">
        <v>59</v>
      </c>
      <c r="C154" s="223"/>
      <c r="E154" s="223"/>
      <c r="F154" s="1"/>
      <c r="G154" s="223">
        <v>0</v>
      </c>
      <c r="H154" s="1"/>
      <c r="I154" s="241"/>
      <c r="J154" s="1"/>
      <c r="K154" s="223"/>
      <c r="L154" s="1"/>
      <c r="M154" s="223"/>
      <c r="N154" s="1"/>
      <c r="O154" s="223"/>
      <c r="P154" s="1"/>
      <c r="Q154" s="241"/>
      <c r="R154" s="1"/>
      <c r="S154" s="241"/>
      <c r="T154" s="2"/>
      <c r="U154" s="241"/>
      <c r="V154" s="1"/>
      <c r="W154" s="223"/>
      <c r="X154" s="4"/>
      <c r="Y154" s="262"/>
      <c r="Z154" s="4">
        <f t="shared" si="14"/>
        <v>0</v>
      </c>
      <c r="AA154" s="1">
        <f t="shared" si="15"/>
        <v>0</v>
      </c>
      <c r="AB154" s="6" t="s">
        <v>59</v>
      </c>
    </row>
    <row r="155" spans="1:28" ht="16" x14ac:dyDescent="0.2">
      <c r="A155" s="6" t="s">
        <v>76</v>
      </c>
      <c r="C155" s="223"/>
      <c r="E155" s="223"/>
      <c r="F155" s="1"/>
      <c r="G155" s="223"/>
      <c r="H155" s="1"/>
      <c r="I155" s="241"/>
      <c r="J155" s="1"/>
      <c r="K155" s="223"/>
      <c r="L155" s="1"/>
      <c r="M155" s="223"/>
      <c r="N155" s="1"/>
      <c r="O155" s="223"/>
      <c r="P155" s="1"/>
      <c r="Q155" s="241"/>
      <c r="R155" s="346">
        <f>R82+R74+R56+R55+R54+R44*1.1</f>
        <v>4796000</v>
      </c>
      <c r="S155" s="241">
        <v>1842868</v>
      </c>
      <c r="T155" s="2"/>
      <c r="U155" s="241"/>
      <c r="V155" s="346">
        <v>300000</v>
      </c>
      <c r="W155" s="223"/>
      <c r="X155" s="4"/>
      <c r="Y155" s="262"/>
      <c r="Z155" s="4">
        <f t="shared" si="14"/>
        <v>5096000</v>
      </c>
      <c r="AA155" s="1">
        <f t="shared" si="15"/>
        <v>1842868</v>
      </c>
      <c r="AB155" s="6" t="s">
        <v>76</v>
      </c>
    </row>
    <row r="156" spans="1:28" ht="16" x14ac:dyDescent="0.2">
      <c r="A156" s="6" t="s">
        <v>295</v>
      </c>
      <c r="C156" s="223"/>
      <c r="E156" s="223"/>
      <c r="F156" s="1"/>
      <c r="G156" s="223"/>
      <c r="H156" s="1"/>
      <c r="I156" s="241"/>
      <c r="J156" s="1"/>
      <c r="K156" s="223"/>
      <c r="L156" s="1"/>
      <c r="M156" s="223"/>
      <c r="N156" s="1"/>
      <c r="O156" s="223"/>
      <c r="P156" s="1"/>
      <c r="Q156" s="241"/>
      <c r="R156" s="346">
        <f>1393920*1.05</f>
        <v>1463616</v>
      </c>
      <c r="S156" s="241">
        <v>1213872</v>
      </c>
      <c r="T156" s="2"/>
      <c r="U156" s="241"/>
      <c r="V156" s="1"/>
      <c r="W156" s="223"/>
      <c r="X156" s="4"/>
      <c r="Y156" s="262"/>
      <c r="Z156" s="4">
        <f t="shared" si="14"/>
        <v>1463616</v>
      </c>
      <c r="AA156" s="1">
        <f t="shared" si="15"/>
        <v>1213872</v>
      </c>
      <c r="AB156" s="6" t="s">
        <v>295</v>
      </c>
    </row>
    <row r="157" spans="1:28" ht="16" x14ac:dyDescent="0.2">
      <c r="A157" s="6" t="s">
        <v>109</v>
      </c>
      <c r="C157" s="223"/>
      <c r="E157" s="223"/>
      <c r="F157" s="1"/>
      <c r="G157" s="223"/>
      <c r="H157" s="1"/>
      <c r="I157" s="241"/>
      <c r="J157" s="1"/>
      <c r="K157" s="223"/>
      <c r="L157" s="1"/>
      <c r="M157" s="223"/>
      <c r="N157" s="1"/>
      <c r="O157" s="223"/>
      <c r="P157" s="1"/>
      <c r="Q157" s="241"/>
      <c r="R157" s="1"/>
      <c r="S157" s="241"/>
      <c r="T157" s="2"/>
      <c r="U157" s="241"/>
      <c r="V157" s="1"/>
      <c r="W157" s="223"/>
      <c r="X157" s="4"/>
      <c r="Y157" s="262"/>
      <c r="Z157" s="4">
        <f t="shared" si="14"/>
        <v>0</v>
      </c>
      <c r="AA157" s="1">
        <f t="shared" si="15"/>
        <v>0</v>
      </c>
      <c r="AB157" s="6" t="s">
        <v>109</v>
      </c>
    </row>
    <row r="158" spans="1:28" ht="16" x14ac:dyDescent="0.2">
      <c r="A158" s="6" t="s">
        <v>284</v>
      </c>
      <c r="C158" s="223"/>
      <c r="E158" s="223"/>
      <c r="F158" s="1"/>
      <c r="G158" s="223"/>
      <c r="H158" s="1"/>
      <c r="I158" s="241"/>
      <c r="J158" s="1"/>
      <c r="K158" s="223"/>
      <c r="L158" s="346">
        <f>500000+500000</f>
        <v>1000000</v>
      </c>
      <c r="M158" s="223">
        <v>348484</v>
      </c>
      <c r="N158" s="1"/>
      <c r="O158" s="223"/>
      <c r="P158" s="1"/>
      <c r="Q158" s="241"/>
      <c r="R158" s="1"/>
      <c r="S158" s="241"/>
      <c r="T158" s="2"/>
      <c r="U158" s="241"/>
      <c r="V158" s="1"/>
      <c r="W158" s="223"/>
      <c r="X158" s="4"/>
      <c r="Y158" s="262"/>
      <c r="Z158" s="4">
        <f t="shared" si="14"/>
        <v>1000000</v>
      </c>
      <c r="AA158" s="1">
        <f t="shared" si="15"/>
        <v>348484</v>
      </c>
      <c r="AB158" s="6" t="s">
        <v>284</v>
      </c>
    </row>
    <row r="159" spans="1:28" ht="16" x14ac:dyDescent="0.2">
      <c r="A159" s="97" t="s">
        <v>51</v>
      </c>
      <c r="C159" s="223"/>
      <c r="D159" s="345">
        <v>1469326</v>
      </c>
      <c r="E159" s="223">
        <v>940875</v>
      </c>
      <c r="F159" s="1"/>
      <c r="G159" s="223"/>
      <c r="H159" s="1"/>
      <c r="I159" s="241"/>
      <c r="J159" s="1"/>
      <c r="K159" s="223"/>
      <c r="L159" s="1"/>
      <c r="M159" s="223"/>
      <c r="N159" s="1"/>
      <c r="O159" s="223"/>
      <c r="P159" s="1"/>
      <c r="Q159" s="241"/>
      <c r="R159" s="1"/>
      <c r="S159" s="241"/>
      <c r="T159" s="2"/>
      <c r="U159" s="241"/>
      <c r="V159" s="1"/>
      <c r="W159" s="223"/>
      <c r="X159" s="4"/>
      <c r="Y159" s="262"/>
      <c r="Z159" s="4">
        <f t="shared" si="14"/>
        <v>1469326</v>
      </c>
      <c r="AA159" s="1">
        <f t="shared" si="15"/>
        <v>940875</v>
      </c>
      <c r="AB159" s="97" t="s">
        <v>51</v>
      </c>
    </row>
    <row r="160" spans="1:28" ht="16" x14ac:dyDescent="0.2">
      <c r="A160" s="7" t="s">
        <v>49</v>
      </c>
      <c r="B160" s="345">
        <v>31000000</v>
      </c>
      <c r="C160" s="223">
        <v>23230120</v>
      </c>
      <c r="D160" s="3">
        <v>0</v>
      </c>
      <c r="E160" s="223"/>
      <c r="F160" s="1"/>
      <c r="G160" s="223"/>
      <c r="H160" s="1"/>
      <c r="I160" s="241">
        <v>0</v>
      </c>
      <c r="J160" s="1"/>
      <c r="K160" s="223"/>
      <c r="L160" s="1"/>
      <c r="M160" s="223"/>
      <c r="O160" s="223">
        <v>3286397</v>
      </c>
      <c r="P160" s="1"/>
      <c r="Q160" s="241"/>
      <c r="R160" s="1"/>
      <c r="S160" s="241"/>
      <c r="T160" s="2"/>
      <c r="U160" s="241"/>
      <c r="V160" s="1"/>
      <c r="W160" s="223"/>
      <c r="X160" s="4"/>
      <c r="Y160" s="262"/>
      <c r="Z160" s="4">
        <f t="shared" si="14"/>
        <v>31000000</v>
      </c>
      <c r="AA160" s="1">
        <f t="shared" si="15"/>
        <v>26516517</v>
      </c>
      <c r="AB160" s="7" t="s">
        <v>49</v>
      </c>
    </row>
    <row r="161" spans="1:29" ht="16" x14ac:dyDescent="0.2">
      <c r="A161" s="7" t="s">
        <v>112</v>
      </c>
      <c r="C161" s="223"/>
      <c r="E161" s="223"/>
      <c r="F161" s="1"/>
      <c r="G161" s="223"/>
      <c r="H161" s="1"/>
      <c r="I161" s="241"/>
      <c r="J161" s="1"/>
      <c r="K161" s="223"/>
      <c r="L161" s="1"/>
      <c r="M161" s="223"/>
      <c r="N161" s="1"/>
      <c r="O161" s="223"/>
      <c r="P161" s="1"/>
      <c r="Q161" s="241"/>
      <c r="R161" s="1"/>
      <c r="S161" s="241"/>
      <c r="T161" s="2"/>
      <c r="U161" s="241"/>
      <c r="V161" s="1"/>
      <c r="W161" s="223"/>
      <c r="X161" s="4"/>
      <c r="Y161" s="262"/>
      <c r="Z161" s="4">
        <f t="shared" si="14"/>
        <v>0</v>
      </c>
      <c r="AA161" s="1">
        <f t="shared" si="15"/>
        <v>0</v>
      </c>
      <c r="AB161" s="7" t="s">
        <v>112</v>
      </c>
    </row>
    <row r="162" spans="1:29" ht="16" x14ac:dyDescent="0.2">
      <c r="A162" s="6" t="s">
        <v>74</v>
      </c>
      <c r="C162" s="223"/>
      <c r="E162" s="223"/>
      <c r="F162" s="1"/>
      <c r="G162" s="223"/>
      <c r="H162" s="1"/>
      <c r="I162" s="241"/>
      <c r="J162" s="1"/>
      <c r="K162" s="223"/>
      <c r="L162" s="346">
        <f>200000+564149</f>
        <v>764149</v>
      </c>
      <c r="M162" s="223">
        <v>185826</v>
      </c>
      <c r="N162" s="1"/>
      <c r="O162" s="223"/>
      <c r="P162" s="1"/>
      <c r="Q162" s="241"/>
      <c r="R162" s="1"/>
      <c r="S162" s="241"/>
      <c r="T162" s="2"/>
      <c r="U162" s="241"/>
      <c r="V162" s="1"/>
      <c r="W162" s="223"/>
      <c r="X162" s="4"/>
      <c r="Y162" s="262"/>
      <c r="Z162" s="4">
        <f t="shared" si="14"/>
        <v>764149</v>
      </c>
      <c r="AA162" s="1">
        <f t="shared" si="15"/>
        <v>185826</v>
      </c>
      <c r="AB162" s="6" t="s">
        <v>74</v>
      </c>
    </row>
    <row r="163" spans="1:29" ht="16" x14ac:dyDescent="0.2">
      <c r="A163" s="6" t="s">
        <v>231</v>
      </c>
      <c r="C163" s="223"/>
      <c r="E163" s="223"/>
      <c r="F163" s="1"/>
      <c r="G163" s="223"/>
      <c r="H163" s="1"/>
      <c r="I163" s="241"/>
      <c r="J163" s="1"/>
      <c r="K163" s="223"/>
      <c r="L163" s="1"/>
      <c r="M163" s="223"/>
      <c r="N163" s="1"/>
      <c r="O163" s="223"/>
      <c r="P163" s="1"/>
      <c r="Q163" s="241"/>
      <c r="R163" s="1"/>
      <c r="S163" s="241"/>
      <c r="T163" s="2"/>
      <c r="U163" s="241"/>
      <c r="V163" s="1"/>
      <c r="W163" s="223"/>
      <c r="X163" s="4"/>
      <c r="Y163" s="262"/>
      <c r="Z163" s="4">
        <f t="shared" si="14"/>
        <v>0</v>
      </c>
      <c r="AA163" s="1">
        <f>C163+E163+G163+O163+I163+K163+M163+Q163+S163+U163+W163+Y163</f>
        <v>0</v>
      </c>
      <c r="AB163" s="6" t="s">
        <v>231</v>
      </c>
    </row>
    <row r="164" spans="1:29" ht="16" x14ac:dyDescent="0.2">
      <c r="A164" s="6" t="s">
        <v>58</v>
      </c>
      <c r="C164" s="223"/>
      <c r="E164" s="223"/>
      <c r="F164" s="1"/>
      <c r="G164" s="223"/>
      <c r="H164" s="1"/>
      <c r="I164" s="241"/>
      <c r="J164" s="1"/>
      <c r="K164" s="223"/>
      <c r="L164" s="1"/>
      <c r="M164" s="223">
        <v>0</v>
      </c>
      <c r="N164" s="1"/>
      <c r="O164" s="223"/>
      <c r="P164" s="1"/>
      <c r="Q164" s="241"/>
      <c r="R164" s="1"/>
      <c r="S164" s="241"/>
      <c r="T164" s="2"/>
      <c r="U164" s="241"/>
      <c r="V164" s="1"/>
      <c r="W164" s="223"/>
      <c r="X164" s="4"/>
      <c r="Y164" s="262"/>
      <c r="Z164" s="4">
        <f t="shared" si="14"/>
        <v>0</v>
      </c>
      <c r="AA164" s="1">
        <f t="shared" si="15"/>
        <v>0</v>
      </c>
      <c r="AB164" s="6" t="s">
        <v>58</v>
      </c>
    </row>
    <row r="165" spans="1:29" ht="16" x14ac:dyDescent="0.2">
      <c r="A165" s="6" t="s">
        <v>72</v>
      </c>
      <c r="C165" s="223"/>
      <c r="E165" s="223"/>
      <c r="F165" s="1"/>
      <c r="G165" s="223"/>
      <c r="H165" s="1"/>
      <c r="I165" s="241"/>
      <c r="J165" s="1"/>
      <c r="K165" s="223"/>
      <c r="L165" s="1"/>
      <c r="M165" s="223"/>
      <c r="N165" s="1"/>
      <c r="O165" s="223"/>
      <c r="P165" s="1"/>
      <c r="Q165" s="241"/>
      <c r="R165" s="1"/>
      <c r="S165" s="241"/>
      <c r="T165" s="2"/>
      <c r="U165" s="241"/>
      <c r="V165" s="1"/>
      <c r="W165" s="223"/>
      <c r="X165" s="4"/>
      <c r="Y165" s="262"/>
      <c r="Z165" s="4">
        <f t="shared" si="14"/>
        <v>0</v>
      </c>
      <c r="AA165" s="1">
        <f t="shared" si="15"/>
        <v>0</v>
      </c>
      <c r="AB165" s="6" t="s">
        <v>72</v>
      </c>
    </row>
    <row r="166" spans="1:29" ht="16" x14ac:dyDescent="0.2">
      <c r="A166" s="6" t="s">
        <v>57</v>
      </c>
      <c r="C166" s="223"/>
      <c r="E166" s="223"/>
      <c r="F166" s="1"/>
      <c r="G166" s="223"/>
      <c r="H166" s="346">
        <v>700000</v>
      </c>
      <c r="I166" s="241">
        <v>626526</v>
      </c>
      <c r="J166" s="1"/>
      <c r="K166" s="223"/>
      <c r="L166" s="1"/>
      <c r="M166" s="223"/>
      <c r="N166" s="1"/>
      <c r="O166" s="223"/>
      <c r="P166" s="1"/>
      <c r="Q166" s="241"/>
      <c r="R166" s="1"/>
      <c r="S166" s="241"/>
      <c r="T166" s="2"/>
      <c r="U166" s="241"/>
      <c r="V166" s="1"/>
      <c r="W166" s="223"/>
      <c r="X166" s="4"/>
      <c r="Y166" s="262"/>
      <c r="Z166" s="4">
        <f t="shared" si="14"/>
        <v>700000</v>
      </c>
      <c r="AA166" s="1">
        <f t="shared" si="15"/>
        <v>626526</v>
      </c>
      <c r="AB166" s="6" t="s">
        <v>57</v>
      </c>
    </row>
    <row r="167" spans="1:29" ht="16" x14ac:dyDescent="0.2">
      <c r="A167" s="6" t="s">
        <v>55</v>
      </c>
      <c r="C167" s="223"/>
      <c r="E167" s="223"/>
      <c r="F167" s="1"/>
      <c r="G167" s="223"/>
      <c r="H167" s="1"/>
      <c r="I167" s="241"/>
      <c r="J167" s="1"/>
      <c r="K167" s="223"/>
      <c r="L167" s="1"/>
      <c r="M167" s="223"/>
      <c r="N167" s="1"/>
      <c r="O167" s="223"/>
      <c r="P167" s="346">
        <v>35000</v>
      </c>
      <c r="Q167" s="241">
        <v>10395</v>
      </c>
      <c r="R167" s="1"/>
      <c r="S167" s="241"/>
      <c r="T167" s="2"/>
      <c r="U167" s="241"/>
      <c r="V167" s="1"/>
      <c r="W167" s="223"/>
      <c r="X167" s="4"/>
      <c r="Y167" s="262"/>
      <c r="Z167" s="4">
        <f t="shared" si="14"/>
        <v>35000</v>
      </c>
      <c r="AA167" s="1">
        <f t="shared" si="15"/>
        <v>10395</v>
      </c>
      <c r="AB167" s="6" t="s">
        <v>55</v>
      </c>
    </row>
    <row r="168" spans="1:29" ht="16" x14ac:dyDescent="0.2">
      <c r="A168" s="6" t="s">
        <v>38</v>
      </c>
      <c r="C168" s="223"/>
      <c r="E168" s="223"/>
      <c r="F168" s="1"/>
      <c r="G168" s="223"/>
      <c r="H168" s="1"/>
      <c r="I168" s="241"/>
      <c r="J168" s="1"/>
      <c r="K168" s="223"/>
      <c r="L168" s="1"/>
      <c r="M168" s="223"/>
      <c r="N168" s="1"/>
      <c r="O168" s="223"/>
      <c r="P168" s="1"/>
      <c r="Q168" s="241"/>
      <c r="R168" s="1"/>
      <c r="S168" s="241"/>
      <c r="T168" s="2"/>
      <c r="U168" s="241"/>
      <c r="V168" s="1"/>
      <c r="W168" s="223"/>
      <c r="X168" s="4"/>
      <c r="Y168" s="262"/>
      <c r="Z168" s="4">
        <f t="shared" si="14"/>
        <v>0</v>
      </c>
      <c r="AA168" s="1">
        <f t="shared" si="15"/>
        <v>0</v>
      </c>
      <c r="AB168" s="6" t="s">
        <v>38</v>
      </c>
    </row>
    <row r="169" spans="1:29" ht="16" x14ac:dyDescent="0.2">
      <c r="A169" s="97" t="s">
        <v>338</v>
      </c>
      <c r="C169" s="223"/>
      <c r="E169" s="223"/>
      <c r="F169" s="1"/>
      <c r="G169" s="223"/>
      <c r="H169" s="1"/>
      <c r="I169" s="241"/>
      <c r="J169" s="1"/>
      <c r="K169" s="223"/>
      <c r="L169" s="1"/>
      <c r="M169" s="223"/>
      <c r="N169" s="346">
        <f>(N48+N57+N77+N88+N92)*1.03</f>
        <v>2684036.83</v>
      </c>
      <c r="O169" s="223">
        <v>1147583</v>
      </c>
      <c r="P169" s="1"/>
      <c r="Q169" s="241"/>
      <c r="R169" s="1"/>
      <c r="S169" s="241"/>
      <c r="T169" s="2"/>
      <c r="U169" s="241"/>
      <c r="V169" s="1"/>
      <c r="W169" s="223"/>
      <c r="X169" s="4"/>
      <c r="Y169" s="262"/>
      <c r="Z169" s="4">
        <f t="shared" si="14"/>
        <v>2684036.83</v>
      </c>
      <c r="AA169" s="1">
        <f t="shared" si="15"/>
        <v>1147583</v>
      </c>
      <c r="AB169" s="6" t="s">
        <v>339</v>
      </c>
    </row>
    <row r="170" spans="1:29" ht="16" x14ac:dyDescent="0.2">
      <c r="A170" s="6" t="s">
        <v>73</v>
      </c>
      <c r="C170" s="223"/>
      <c r="E170" s="223"/>
      <c r="F170" s="1"/>
      <c r="G170" s="223"/>
      <c r="H170" s="1"/>
      <c r="I170" s="241"/>
      <c r="J170" s="1"/>
      <c r="K170" s="223"/>
      <c r="L170" s="1"/>
      <c r="M170" s="223"/>
      <c r="N170" s="1"/>
      <c r="O170" s="223"/>
      <c r="P170" s="346">
        <f>1380000+1000000+3000000</f>
        <v>5380000</v>
      </c>
      <c r="Q170" s="241">
        <v>1171113</v>
      </c>
      <c r="R170" s="1"/>
      <c r="S170" s="241"/>
      <c r="T170" s="2"/>
      <c r="U170" s="241"/>
      <c r="V170" s="1"/>
      <c r="W170" s="223"/>
      <c r="X170" s="4"/>
      <c r="Y170" s="262"/>
      <c r="Z170" s="4">
        <f t="shared" si="14"/>
        <v>5380000</v>
      </c>
      <c r="AA170" s="1">
        <f t="shared" si="15"/>
        <v>1171113</v>
      </c>
      <c r="AB170" s="6" t="s">
        <v>73</v>
      </c>
    </row>
    <row r="171" spans="1:29" ht="16" x14ac:dyDescent="0.2">
      <c r="A171" s="6" t="s">
        <v>125</v>
      </c>
      <c r="C171" s="223"/>
      <c r="E171" s="223"/>
      <c r="F171" s="1"/>
      <c r="G171" s="223"/>
      <c r="H171" s="1"/>
      <c r="I171" s="241"/>
      <c r="J171" s="1"/>
      <c r="K171" s="223"/>
      <c r="L171" s="1"/>
      <c r="M171" s="223"/>
      <c r="N171" s="1"/>
      <c r="O171" s="223"/>
      <c r="P171" s="1"/>
      <c r="Q171" s="241"/>
      <c r="R171" s="1"/>
      <c r="S171" s="241"/>
      <c r="T171" s="2"/>
      <c r="U171" s="241"/>
      <c r="V171" s="1"/>
      <c r="W171" s="223"/>
      <c r="X171" s="4"/>
      <c r="Y171" s="262"/>
      <c r="Z171" s="4">
        <f t="shared" si="14"/>
        <v>0</v>
      </c>
      <c r="AA171" s="1">
        <f t="shared" si="15"/>
        <v>0</v>
      </c>
      <c r="AB171" s="6" t="s">
        <v>125</v>
      </c>
    </row>
    <row r="172" spans="1:29" ht="16" x14ac:dyDescent="0.2">
      <c r="A172" s="6" t="s">
        <v>232</v>
      </c>
      <c r="C172" s="223"/>
      <c r="E172" s="223"/>
      <c r="F172" s="1"/>
      <c r="G172" s="223"/>
      <c r="H172" s="1"/>
      <c r="I172" s="241"/>
      <c r="J172" s="1"/>
      <c r="K172" s="223"/>
      <c r="L172" s="1"/>
      <c r="M172" s="223"/>
      <c r="N172" s="1"/>
      <c r="O172" s="223"/>
      <c r="P172" s="1"/>
      <c r="Q172" s="241"/>
      <c r="R172" s="1"/>
      <c r="S172" s="241"/>
      <c r="T172" s="2"/>
      <c r="U172" s="241"/>
      <c r="V172" s="1"/>
      <c r="W172" s="223"/>
      <c r="X172" s="4"/>
      <c r="Y172" s="262"/>
      <c r="Z172" s="4">
        <f t="shared" si="14"/>
        <v>0</v>
      </c>
      <c r="AA172" s="1">
        <f t="shared" si="15"/>
        <v>0</v>
      </c>
      <c r="AB172" s="6" t="s">
        <v>232</v>
      </c>
    </row>
    <row r="173" spans="1:29" ht="16" x14ac:dyDescent="0.2">
      <c r="A173" s="6" t="s">
        <v>52</v>
      </c>
      <c r="C173" s="223"/>
      <c r="D173" s="345">
        <v>6937172</v>
      </c>
      <c r="E173" s="223">
        <v>5810060</v>
      </c>
      <c r="F173" s="1"/>
      <c r="G173" s="223"/>
      <c r="H173" s="1"/>
      <c r="I173" s="241"/>
      <c r="J173" s="1"/>
      <c r="K173" s="223"/>
      <c r="L173" s="1"/>
      <c r="M173" s="223"/>
      <c r="N173" s="1"/>
      <c r="O173" s="223"/>
      <c r="P173" s="1"/>
      <c r="Q173" s="241"/>
      <c r="R173" s="1"/>
      <c r="S173" s="241"/>
      <c r="T173" s="2"/>
      <c r="U173" s="241"/>
      <c r="V173" s="1"/>
      <c r="W173" s="223"/>
      <c r="X173" s="4"/>
      <c r="Y173" s="262"/>
      <c r="Z173" s="4">
        <f t="shared" si="14"/>
        <v>6937172</v>
      </c>
      <c r="AA173" s="1">
        <f t="shared" si="15"/>
        <v>5810060</v>
      </c>
      <c r="AB173" s="6" t="s">
        <v>52</v>
      </c>
    </row>
    <row r="174" spans="1:29" s="10" customFormat="1" ht="16" x14ac:dyDescent="0.2">
      <c r="A174" s="221" t="s">
        <v>60</v>
      </c>
      <c r="B174" s="10">
        <v>0</v>
      </c>
      <c r="C174" s="236"/>
      <c r="D174" s="10">
        <v>0</v>
      </c>
      <c r="E174" s="236"/>
      <c r="G174" s="236"/>
      <c r="H174" s="9"/>
      <c r="I174" s="239"/>
      <c r="J174" s="9"/>
      <c r="K174" s="236"/>
      <c r="L174" s="9">
        <v>0</v>
      </c>
      <c r="M174" s="236"/>
      <c r="N174" s="9"/>
      <c r="O174" s="426"/>
      <c r="Q174" s="239"/>
      <c r="R174" s="9"/>
      <c r="S174" s="239"/>
      <c r="U174" s="239"/>
      <c r="V174" s="9"/>
      <c r="W174" s="236"/>
      <c r="X174" s="419"/>
      <c r="Y174" s="410"/>
      <c r="Z174" s="4">
        <f>B174+D174+F174+N174+H174+J174+L174+P174+T174+R174+V174+X174</f>
        <v>0</v>
      </c>
      <c r="AA174" s="1">
        <f>C174+E174+G174+O174+I174+K174+M174+Q174+S174+U174+W174+Y174</f>
        <v>0</v>
      </c>
      <c r="AB174" s="221" t="s">
        <v>60</v>
      </c>
    </row>
    <row r="175" spans="1:29" s="10" customFormat="1" ht="16" x14ac:dyDescent="0.2">
      <c r="A175" s="221" t="s">
        <v>61</v>
      </c>
      <c r="B175" s="10">
        <f>B125</f>
        <v>2500000</v>
      </c>
      <c r="C175" s="236"/>
      <c r="D175" s="10">
        <f>D125</f>
        <v>2220472</v>
      </c>
      <c r="E175" s="236"/>
      <c r="F175" s="10">
        <f>F125</f>
        <v>0</v>
      </c>
      <c r="G175" s="239">
        <f>G125</f>
        <v>0</v>
      </c>
      <c r="H175" s="10">
        <f>H125</f>
        <v>1250000</v>
      </c>
      <c r="I175" s="239">
        <f>I125</f>
        <v>0</v>
      </c>
      <c r="J175" s="9">
        <f>J125</f>
        <v>0</v>
      </c>
      <c r="K175" s="236"/>
      <c r="L175" s="9">
        <f>L125</f>
        <v>0</v>
      </c>
      <c r="M175" s="236"/>
      <c r="N175" s="10">
        <v>0</v>
      </c>
      <c r="O175" s="236">
        <f>O125</f>
        <v>0</v>
      </c>
      <c r="P175" s="9">
        <f>P125</f>
        <v>600000</v>
      </c>
      <c r="Q175" s="239">
        <f>Q125</f>
        <v>0</v>
      </c>
      <c r="R175" s="9"/>
      <c r="S175" s="239"/>
      <c r="T175" s="8"/>
      <c r="U175" s="239">
        <f>U125</f>
        <v>0</v>
      </c>
      <c r="V175" s="9"/>
      <c r="W175" s="236"/>
      <c r="X175" s="419"/>
      <c r="Y175" s="410"/>
      <c r="Z175" s="4">
        <f>B175+D175+F175+N175+H175+J175+L175+P175+T175+R175+V175+X175</f>
        <v>6570472</v>
      </c>
      <c r="AA175" s="1">
        <f t="shared" si="15"/>
        <v>0</v>
      </c>
      <c r="AB175" s="221" t="s">
        <v>61</v>
      </c>
    </row>
    <row r="176" spans="1:29" s="202" customFormat="1" ht="16" x14ac:dyDescent="0.2">
      <c r="A176" s="222" t="s">
        <v>62</v>
      </c>
      <c r="B176" s="207">
        <f t="shared" ref="B176:V176" si="16">SUM(B133:B175)</f>
        <v>83942815</v>
      </c>
      <c r="C176" s="237">
        <f t="shared" si="16"/>
        <v>53885280</v>
      </c>
      <c r="D176" s="207">
        <f t="shared" si="16"/>
        <v>118847631.34388918</v>
      </c>
      <c r="E176" s="237">
        <f t="shared" si="16"/>
        <v>91238403</v>
      </c>
      <c r="F176" s="207">
        <f t="shared" si="16"/>
        <v>0</v>
      </c>
      <c r="G176" s="237">
        <f t="shared" si="16"/>
        <v>0</v>
      </c>
      <c r="H176" s="207">
        <f t="shared" si="16"/>
        <v>1950000</v>
      </c>
      <c r="I176" s="237">
        <f t="shared" si="16"/>
        <v>626526</v>
      </c>
      <c r="J176" s="207">
        <f t="shared" si="16"/>
        <v>432000</v>
      </c>
      <c r="K176" s="237">
        <f t="shared" si="16"/>
        <v>94901</v>
      </c>
      <c r="L176" s="207">
        <f t="shared" si="16"/>
        <v>5618149</v>
      </c>
      <c r="M176" s="237">
        <f t="shared" si="16"/>
        <v>1150018</v>
      </c>
      <c r="N176" s="207">
        <f t="shared" si="16"/>
        <v>2684036.83</v>
      </c>
      <c r="O176" s="237">
        <f t="shared" si="16"/>
        <v>4433980</v>
      </c>
      <c r="P176" s="207">
        <f t="shared" si="16"/>
        <v>6015000</v>
      </c>
      <c r="Q176" s="390">
        <f t="shared" si="16"/>
        <v>1181508</v>
      </c>
      <c r="R176" s="207">
        <f t="shared" si="16"/>
        <v>6259616</v>
      </c>
      <c r="S176" s="237">
        <f t="shared" si="16"/>
        <v>3056740</v>
      </c>
      <c r="T176" s="207">
        <f t="shared" si="16"/>
        <v>0</v>
      </c>
      <c r="U176" s="390">
        <f t="shared" si="16"/>
        <v>0</v>
      </c>
      <c r="V176" s="394">
        <f t="shared" si="16"/>
        <v>300000</v>
      </c>
      <c r="W176" s="237">
        <v>0</v>
      </c>
      <c r="X176" s="207">
        <f>SUM(X133:X175)</f>
        <v>3000000</v>
      </c>
      <c r="Y176" s="237">
        <v>0</v>
      </c>
      <c r="Z176" s="183">
        <f>B176+D176+F176+N176+H176+J176+L176+P176+T176+R176+V176+X176</f>
        <v>229049248.17388919</v>
      </c>
      <c r="AA176" s="425">
        <f>SUM(AA133:AA175)</f>
        <v>157413356</v>
      </c>
      <c r="AB176" s="222" t="s">
        <v>62</v>
      </c>
      <c r="AC176" s="202">
        <f>SUM(Z133:Z175)</f>
        <v>229049248.17388919</v>
      </c>
    </row>
    <row r="177" spans="1:30" s="202" customFormat="1" ht="17" thickBot="1" x14ac:dyDescent="0.25">
      <c r="A177" s="212"/>
      <c r="C177" s="233"/>
      <c r="D177" s="193"/>
      <c r="E177" s="227"/>
      <c r="F177" s="193"/>
      <c r="G177" s="227"/>
      <c r="H177" s="193"/>
      <c r="I177" s="227"/>
      <c r="J177" s="193"/>
      <c r="K177" s="227"/>
      <c r="L177" s="193"/>
      <c r="M177" s="227"/>
      <c r="N177" s="193"/>
      <c r="O177" s="227"/>
      <c r="P177" s="193"/>
      <c r="Q177" s="242"/>
      <c r="R177" s="193"/>
      <c r="S177" s="227"/>
      <c r="T177" s="193"/>
      <c r="U177" s="227"/>
      <c r="V177" s="193"/>
      <c r="W177" s="227"/>
      <c r="X177" s="193"/>
      <c r="Y177" s="227"/>
      <c r="Z177" s="194"/>
      <c r="AA177" s="195"/>
      <c r="AB177" s="212"/>
    </row>
    <row r="178" spans="1:30" ht="23.25" customHeight="1" x14ac:dyDescent="0.2">
      <c r="B178" s="3">
        <f>+B176-B130+B128</f>
        <v>-23940877.79999999</v>
      </c>
      <c r="C178" s="3"/>
      <c r="D178" s="3">
        <f>+D176-D130+D128</f>
        <v>-2573137.500892479</v>
      </c>
      <c r="E178" s="3"/>
      <c r="F178" s="3">
        <f>+F176-F130+F128</f>
        <v>-111047250.76666667</v>
      </c>
      <c r="G178" s="3"/>
      <c r="H178" s="3">
        <f>+H176-H130+H128</f>
        <v>-86258516.909999996</v>
      </c>
      <c r="I178" s="3"/>
      <c r="J178" s="3">
        <f>+J176-J130+J128</f>
        <v>131999.99999999988</v>
      </c>
      <c r="K178" s="3"/>
      <c r="L178" s="3">
        <f>+L176-L130+L128</f>
        <v>4488149</v>
      </c>
      <c r="M178" s="3"/>
      <c r="N178" s="3">
        <f>+N176-N130+N128</f>
        <v>78175.829999999958</v>
      </c>
      <c r="O178" s="3"/>
      <c r="P178" s="3">
        <f>+P176-P130+P128</f>
        <v>-4383921.82</v>
      </c>
      <c r="Q178" s="3"/>
      <c r="R178" s="3">
        <f>+R176-R130+R128</f>
        <v>-6178861.620000002</v>
      </c>
      <c r="S178" s="3"/>
      <c r="T178" s="3">
        <f>+T176-T130+T128</f>
        <v>-10996368.279999999</v>
      </c>
      <c r="U178" s="3"/>
      <c r="V178" s="3">
        <f>+V176-V130+V128</f>
        <v>-1765016.66</v>
      </c>
      <c r="W178" s="3">
        <f>+W176-W130+W128</f>
        <v>-139748</v>
      </c>
      <c r="X178" s="3">
        <f>+X176-X130+X128</f>
        <v>-4688566.5699999984</v>
      </c>
      <c r="Y178" s="3">
        <f>+Y176-Y130+Y128</f>
        <v>-2781873</v>
      </c>
      <c r="Z178" s="3">
        <f>T178+R178+P178+N178+L178+J178+H178+F178+D178+B178+V178+X178</f>
        <v>-247134193.09755912</v>
      </c>
    </row>
    <row r="179" spans="1:30" ht="51.5" customHeight="1" x14ac:dyDescent="0.2">
      <c r="B179" s="506" t="s">
        <v>100</v>
      </c>
      <c r="C179" s="513"/>
      <c r="D179" s="513" t="s">
        <v>101</v>
      </c>
      <c r="E179" s="513"/>
      <c r="F179" s="513" t="s">
        <v>102</v>
      </c>
      <c r="G179" s="513"/>
      <c r="H179" s="506" t="s">
        <v>104</v>
      </c>
      <c r="I179" s="507"/>
      <c r="J179" s="506" t="s">
        <v>99</v>
      </c>
      <c r="K179" s="507"/>
      <c r="L179" s="506" t="s">
        <v>105</v>
      </c>
      <c r="M179" s="507"/>
      <c r="N179" s="513" t="s">
        <v>103</v>
      </c>
      <c r="O179" s="507"/>
      <c r="P179" s="506" t="s">
        <v>98</v>
      </c>
      <c r="Q179" s="507"/>
      <c r="R179" s="506" t="s">
        <v>97</v>
      </c>
      <c r="S179" s="507"/>
      <c r="T179" s="506" t="s">
        <v>237</v>
      </c>
      <c r="U179" s="507"/>
      <c r="V179" s="506" t="s">
        <v>328</v>
      </c>
      <c r="W179" s="507"/>
      <c r="X179" s="506" t="s">
        <v>340</v>
      </c>
      <c r="Y179" s="507"/>
      <c r="Z179" s="506" t="s">
        <v>4</v>
      </c>
      <c r="AA179" s="507"/>
    </row>
    <row r="180" spans="1:30" ht="16" x14ac:dyDescent="0.2">
      <c r="C180" s="3"/>
      <c r="E180" s="3"/>
      <c r="G180" s="3"/>
      <c r="I180" s="3"/>
      <c r="K180" s="3"/>
      <c r="M180" s="3"/>
      <c r="O180" s="3"/>
      <c r="Q180" s="3"/>
      <c r="S180" s="3"/>
      <c r="U180" s="3"/>
      <c r="V180" s="3"/>
      <c r="W180" s="3"/>
      <c r="X180" s="3"/>
      <c r="Y180" s="3"/>
      <c r="AA180" s="94"/>
    </row>
    <row r="181" spans="1:30" x14ac:dyDescent="0.2">
      <c r="C181" s="3"/>
      <c r="E181" s="3"/>
      <c r="F181" s="3">
        <f>F128+F100</f>
        <v>130894167.07141666</v>
      </c>
      <c r="G181" s="3"/>
      <c r="I181" s="3"/>
      <c r="K181" s="3"/>
      <c r="M181" s="3"/>
      <c r="O181" s="3"/>
      <c r="Q181" s="3"/>
      <c r="S181" s="3"/>
      <c r="U181" s="3"/>
      <c r="V181" s="3"/>
      <c r="W181" s="3"/>
      <c r="X181" s="3"/>
      <c r="Y181" s="3"/>
      <c r="Z181" s="3">
        <f>Z176-Z126</f>
        <v>-247134193.09755912</v>
      </c>
    </row>
    <row r="182" spans="1:30" x14ac:dyDescent="0.2">
      <c r="C182" s="3"/>
      <c r="E182" s="3"/>
      <c r="G182" s="3"/>
      <c r="I182" s="3"/>
      <c r="K182" s="3"/>
      <c r="M182" s="3"/>
      <c r="O182" s="3"/>
      <c r="Q182" s="3"/>
      <c r="S182" s="3"/>
      <c r="U182" s="3"/>
      <c r="V182" s="3"/>
      <c r="W182" s="3"/>
      <c r="X182" s="3"/>
      <c r="Y182" s="3"/>
      <c r="Z182" s="10"/>
    </row>
    <row r="183" spans="1:30" x14ac:dyDescent="0.2">
      <c r="C183" s="3"/>
      <c r="E183" s="3"/>
      <c r="G183" s="3"/>
      <c r="I183" s="3"/>
      <c r="K183" s="3"/>
      <c r="M183" s="3"/>
      <c r="O183" s="3"/>
      <c r="Q183" s="3"/>
      <c r="S183" s="3"/>
      <c r="U183" s="3"/>
      <c r="V183" s="3"/>
      <c r="W183" s="3"/>
      <c r="X183" s="3"/>
      <c r="Y183" s="3"/>
    </row>
    <row r="184" spans="1:30" x14ac:dyDescent="0.2">
      <c r="C184" s="3"/>
      <c r="E184" s="3"/>
      <c r="G184" s="3"/>
      <c r="I184" s="3"/>
      <c r="K184" s="3"/>
      <c r="M184" s="3"/>
      <c r="O184" s="3"/>
      <c r="Q184" s="3"/>
      <c r="S184" s="3"/>
      <c r="T184" s="514" t="s">
        <v>296</v>
      </c>
      <c r="U184" s="514"/>
      <c r="V184" s="389"/>
      <c r="W184" s="389"/>
      <c r="X184" s="389"/>
      <c r="Y184" s="389"/>
      <c r="Z184" s="406">
        <f>Z100-Z176+Z175</f>
        <v>247134193.09755912</v>
      </c>
      <c r="AB184" s="211">
        <f>Z184-209324602</f>
        <v>37809591.097559124</v>
      </c>
    </row>
    <row r="185" spans="1:30" x14ac:dyDescent="0.2">
      <c r="C185" s="3"/>
      <c r="E185" s="3"/>
      <c r="G185" s="3"/>
      <c r="I185" s="3"/>
      <c r="K185" s="3"/>
      <c r="M185" s="3"/>
      <c r="O185" s="3"/>
      <c r="Q185" s="3"/>
      <c r="S185" s="3"/>
      <c r="U185" s="3"/>
      <c r="V185" s="3"/>
      <c r="W185" s="3"/>
      <c r="X185" s="3"/>
      <c r="Y185" s="3"/>
    </row>
    <row r="186" spans="1:30" x14ac:dyDescent="0.2">
      <c r="C186" s="3"/>
      <c r="E186" s="3"/>
      <c r="G186" s="312"/>
      <c r="H186" s="11"/>
      <c r="I186" s="11"/>
      <c r="J186" s="11"/>
      <c r="K186" s="11"/>
      <c r="L186" s="11"/>
      <c r="M186" s="3"/>
      <c r="N186" s="11"/>
      <c r="O186" s="11"/>
      <c r="Q186" s="3"/>
      <c r="S186" s="3"/>
      <c r="U186" s="317" t="s">
        <v>335</v>
      </c>
      <c r="V186" s="317"/>
      <c r="W186" s="317"/>
      <c r="X186" s="317"/>
      <c r="Y186" s="317"/>
      <c r="Z186" s="317"/>
    </row>
    <row r="187" spans="1:30" x14ac:dyDescent="0.2">
      <c r="B187" s="317"/>
      <c r="C187" s="3"/>
      <c r="E187" s="3"/>
      <c r="F187" s="315"/>
      <c r="G187" s="313"/>
      <c r="H187" s="314"/>
      <c r="I187" s="314"/>
      <c r="J187" s="314"/>
      <c r="K187" s="314"/>
      <c r="L187" s="314"/>
      <c r="M187" s="315"/>
      <c r="N187" s="314"/>
      <c r="O187" s="314"/>
      <c r="P187" s="315"/>
      <c r="Q187" s="315"/>
      <c r="R187" s="315"/>
      <c r="S187" s="315"/>
      <c r="T187" s="315"/>
      <c r="U187" s="315"/>
      <c r="V187" s="315"/>
      <c r="W187" s="315"/>
      <c r="X187" s="315"/>
      <c r="Y187" s="315"/>
      <c r="Z187" s="315"/>
      <c r="AA187" s="315"/>
      <c r="AB187" s="318"/>
    </row>
    <row r="188" spans="1:30" x14ac:dyDescent="0.2">
      <c r="C188" s="3"/>
      <c r="E188" s="3"/>
      <c r="F188" s="315"/>
      <c r="G188" s="313"/>
      <c r="H188" s="314"/>
      <c r="I188" s="314"/>
      <c r="J188" s="314"/>
      <c r="K188" s="314"/>
      <c r="L188" s="314"/>
      <c r="M188" s="315"/>
      <c r="N188" s="314"/>
      <c r="O188" s="314"/>
      <c r="P188" s="315"/>
      <c r="Q188" s="315"/>
      <c r="R188" s="315"/>
      <c r="S188" s="315"/>
      <c r="T188" s="315"/>
      <c r="U188" s="315"/>
      <c r="V188" s="315"/>
      <c r="W188" s="315"/>
      <c r="X188" s="315"/>
      <c r="Y188" s="315"/>
      <c r="Z188" s="315"/>
      <c r="AA188" s="315"/>
      <c r="AB188" s="318"/>
    </row>
    <row r="189" spans="1:30" ht="16" x14ac:dyDescent="0.2">
      <c r="C189" s="3"/>
      <c r="E189" s="3"/>
      <c r="F189" s="315"/>
      <c r="G189" s="313"/>
      <c r="H189" s="315" t="s">
        <v>91</v>
      </c>
      <c r="I189" s="315" t="s">
        <v>92</v>
      </c>
      <c r="J189" s="315" t="s">
        <v>3</v>
      </c>
      <c r="K189" s="315" t="s">
        <v>93</v>
      </c>
      <c r="L189" s="315" t="s">
        <v>94</v>
      </c>
      <c r="M189" s="315" t="s">
        <v>85</v>
      </c>
      <c r="N189" s="315" t="s">
        <v>1</v>
      </c>
      <c r="O189" s="315" t="s">
        <v>2</v>
      </c>
      <c r="P189" s="315" t="s">
        <v>67</v>
      </c>
      <c r="Q189" s="315"/>
      <c r="R189" s="315"/>
      <c r="S189" s="315"/>
      <c r="T189" s="315"/>
      <c r="U189" s="315"/>
      <c r="V189" s="315"/>
      <c r="W189" s="315"/>
      <c r="X189" s="315"/>
      <c r="Y189" s="315"/>
      <c r="Z189" s="315"/>
      <c r="AA189" s="315"/>
      <c r="AB189" s="318"/>
      <c r="AD189" s="187"/>
    </row>
    <row r="190" spans="1:30" ht="16" x14ac:dyDescent="0.2">
      <c r="C190" s="3"/>
      <c r="E190" s="3"/>
      <c r="F190" s="315"/>
      <c r="G190" s="315">
        <v>10556390</v>
      </c>
      <c r="H190" s="314">
        <v>0.6</v>
      </c>
      <c r="I190" s="314">
        <v>0.05</v>
      </c>
      <c r="J190" s="314">
        <v>0</v>
      </c>
      <c r="K190" s="314">
        <v>0.05</v>
      </c>
      <c r="L190" s="314">
        <v>0.02</v>
      </c>
      <c r="M190" s="314">
        <v>0</v>
      </c>
      <c r="N190" s="314">
        <v>0.23</v>
      </c>
      <c r="O190" s="314">
        <v>0.05</v>
      </c>
      <c r="P190" s="314">
        <v>0</v>
      </c>
      <c r="Q190" s="319">
        <f>SUM(H190:P190)</f>
        <v>1</v>
      </c>
      <c r="R190" s="315"/>
      <c r="S190" s="315"/>
      <c r="T190" s="319"/>
      <c r="U190" s="315"/>
      <c r="V190" s="315"/>
      <c r="W190" s="315"/>
      <c r="X190" s="315"/>
      <c r="Y190" s="315"/>
      <c r="Z190" s="315"/>
      <c r="AA190" s="315"/>
      <c r="AB190" s="318"/>
      <c r="AD190" s="187"/>
    </row>
    <row r="191" spans="1:30" ht="16" x14ac:dyDescent="0.2">
      <c r="C191" s="3"/>
      <c r="E191" s="3"/>
      <c r="F191" s="315"/>
      <c r="G191" s="315">
        <v>8992477</v>
      </c>
      <c r="H191" s="314">
        <v>0.6</v>
      </c>
      <c r="I191" s="314">
        <v>0.05</v>
      </c>
      <c r="J191" s="314">
        <v>0</v>
      </c>
      <c r="K191" s="314">
        <v>0.05</v>
      </c>
      <c r="L191" s="314">
        <v>0.02</v>
      </c>
      <c r="M191" s="314">
        <v>0</v>
      </c>
      <c r="N191" s="314">
        <v>0.23</v>
      </c>
      <c r="O191" s="314">
        <v>0.05</v>
      </c>
      <c r="P191" s="314">
        <v>0</v>
      </c>
      <c r="Q191" s="319">
        <f t="shared" ref="Q191:Q194" si="17">SUM(H191:P191)</f>
        <v>1</v>
      </c>
      <c r="R191" s="315"/>
      <c r="S191" s="315"/>
      <c r="T191" s="319"/>
      <c r="U191" s="315"/>
      <c r="V191" s="315"/>
      <c r="W191" s="315"/>
      <c r="X191" s="315"/>
      <c r="Y191" s="315"/>
      <c r="Z191" s="315"/>
      <c r="AA191" s="315"/>
      <c r="AB191" s="318"/>
      <c r="AD191" s="187"/>
    </row>
    <row r="192" spans="1:30" ht="16" x14ac:dyDescent="0.2">
      <c r="C192" s="3"/>
      <c r="E192" s="3"/>
      <c r="F192" s="315"/>
      <c r="G192" s="315">
        <v>5720000</v>
      </c>
      <c r="H192" s="314">
        <v>0.25</v>
      </c>
      <c r="I192" s="314">
        <v>0.05</v>
      </c>
      <c r="J192" s="314">
        <v>0.1</v>
      </c>
      <c r="K192" s="314">
        <v>0.05</v>
      </c>
      <c r="L192" s="314">
        <v>0.05</v>
      </c>
      <c r="M192" s="314">
        <v>0</v>
      </c>
      <c r="N192" s="314">
        <v>0.4</v>
      </c>
      <c r="O192" s="314">
        <v>0.1</v>
      </c>
      <c r="P192" s="314">
        <v>0</v>
      </c>
      <c r="Q192" s="319">
        <f t="shared" si="17"/>
        <v>1</v>
      </c>
      <c r="R192" s="315"/>
      <c r="S192" s="315"/>
      <c r="T192" s="319"/>
      <c r="U192" s="315"/>
      <c r="V192" s="315"/>
      <c r="W192" s="315"/>
      <c r="X192" s="315"/>
      <c r="Y192" s="315"/>
      <c r="Z192" s="315"/>
      <c r="AA192" s="315"/>
      <c r="AB192" s="318"/>
      <c r="AD192" s="187"/>
    </row>
    <row r="193" spans="3:30" ht="16" x14ac:dyDescent="0.2">
      <c r="C193" s="3"/>
      <c r="E193" s="3"/>
      <c r="F193" s="315"/>
      <c r="G193" s="315">
        <v>5720000</v>
      </c>
      <c r="H193" s="314">
        <v>0.25</v>
      </c>
      <c r="I193" s="314">
        <v>0.12</v>
      </c>
      <c r="J193" s="314">
        <v>0.1</v>
      </c>
      <c r="K193" s="314">
        <v>0.05</v>
      </c>
      <c r="L193" s="314">
        <v>0.13</v>
      </c>
      <c r="M193" s="314">
        <v>0</v>
      </c>
      <c r="N193" s="314">
        <v>0.1</v>
      </c>
      <c r="O193" s="314">
        <v>0.2</v>
      </c>
      <c r="P193" s="314">
        <v>0.05</v>
      </c>
      <c r="Q193" s="319">
        <f t="shared" si="17"/>
        <v>1</v>
      </c>
      <c r="R193" s="315"/>
      <c r="S193" s="315"/>
      <c r="T193" s="319"/>
      <c r="U193" s="315"/>
      <c r="V193" s="315"/>
      <c r="W193" s="315"/>
      <c r="X193" s="315"/>
      <c r="Y193" s="315"/>
      <c r="Z193" s="315"/>
      <c r="AA193" s="315"/>
      <c r="AB193" s="318"/>
      <c r="AC193" s="10"/>
      <c r="AD193" s="187"/>
    </row>
    <row r="194" spans="3:30" ht="16" x14ac:dyDescent="0.2">
      <c r="C194" s="3"/>
      <c r="E194" s="3"/>
      <c r="F194" s="315"/>
      <c r="G194" s="315">
        <v>8651500</v>
      </c>
      <c r="H194" s="314">
        <v>0.5</v>
      </c>
      <c r="I194" s="314">
        <v>0.18</v>
      </c>
      <c r="J194" s="314">
        <v>0</v>
      </c>
      <c r="K194" s="314">
        <v>0.05</v>
      </c>
      <c r="L194" s="314">
        <v>0.1</v>
      </c>
      <c r="M194" s="314">
        <v>0.03</v>
      </c>
      <c r="N194" s="314">
        <v>0.12</v>
      </c>
      <c r="O194" s="314">
        <v>0.02</v>
      </c>
      <c r="P194" s="314">
        <v>0</v>
      </c>
      <c r="Q194" s="319">
        <f t="shared" si="17"/>
        <v>1</v>
      </c>
      <c r="R194" s="315"/>
      <c r="S194" s="315"/>
      <c r="T194" s="315"/>
      <c r="U194" s="315"/>
      <c r="V194" s="315"/>
      <c r="W194" s="315"/>
      <c r="X194" s="315"/>
      <c r="Y194" s="315"/>
      <c r="Z194" s="315"/>
      <c r="AA194" s="315"/>
      <c r="AB194" s="318"/>
      <c r="AD194" s="187"/>
    </row>
    <row r="195" spans="3:30" x14ac:dyDescent="0.2">
      <c r="C195" s="3"/>
      <c r="E195" s="3"/>
      <c r="F195" s="315"/>
      <c r="G195" s="315"/>
      <c r="H195" s="315">
        <f t="shared" ref="H195:P195" si="18">$G$190*H190+$G$191*H192+$G$192*H193+$G$193*H194</f>
        <v>12871953.25</v>
      </c>
      <c r="I195" s="315">
        <f t="shared" si="18"/>
        <v>2693443.35</v>
      </c>
      <c r="J195" s="315">
        <f t="shared" si="18"/>
        <v>1471247.7000000002</v>
      </c>
      <c r="K195" s="315">
        <f t="shared" si="18"/>
        <v>1549443.35</v>
      </c>
      <c r="L195" s="315">
        <f t="shared" si="18"/>
        <v>1976351.65</v>
      </c>
      <c r="M195" s="315">
        <f t="shared" si="18"/>
        <v>171600</v>
      </c>
      <c r="N195" s="315">
        <f t="shared" si="18"/>
        <v>7283360.5</v>
      </c>
      <c r="O195" s="315">
        <f t="shared" si="18"/>
        <v>2685467.2</v>
      </c>
      <c r="P195" s="315">
        <f t="shared" si="18"/>
        <v>286000</v>
      </c>
      <c r="Q195" s="315">
        <f>SUM(H195:P195)</f>
        <v>30988867</v>
      </c>
      <c r="R195" s="315"/>
      <c r="S195" s="315"/>
      <c r="T195" s="315"/>
      <c r="U195" s="315"/>
      <c r="V195" s="315"/>
      <c r="W195" s="315"/>
      <c r="X195" s="315"/>
      <c r="Y195" s="315"/>
      <c r="Z195" s="315"/>
      <c r="AA195" s="315"/>
      <c r="AB195" s="318"/>
    </row>
    <row r="196" spans="3:30" x14ac:dyDescent="0.2">
      <c r="C196" s="3"/>
      <c r="E196" s="3"/>
      <c r="F196" s="315"/>
      <c r="G196" s="315"/>
      <c r="H196" s="319">
        <f t="shared" ref="H196:P196" si="19">H195/$Q$195</f>
        <v>0.41537347105978417</v>
      </c>
      <c r="I196" s="319">
        <f t="shared" si="19"/>
        <v>8.6916483587476751E-2</v>
      </c>
      <c r="J196" s="319">
        <f t="shared" si="19"/>
        <v>4.7476653470422139E-2</v>
      </c>
      <c r="K196" s="319">
        <f t="shared" si="19"/>
        <v>0.05</v>
      </c>
      <c r="L196" s="319">
        <f t="shared" si="19"/>
        <v>6.3776182911108037E-2</v>
      </c>
      <c r="M196" s="319">
        <f t="shared" si="19"/>
        <v>5.5374725381215134E-3</v>
      </c>
      <c r="N196" s="319">
        <f t="shared" si="19"/>
        <v>0.23503151954539028</v>
      </c>
      <c r="O196" s="319">
        <f t="shared" si="19"/>
        <v>8.6659095990827939E-2</v>
      </c>
      <c r="P196" s="319">
        <f t="shared" si="19"/>
        <v>9.2291208968691887E-3</v>
      </c>
      <c r="Q196" s="315"/>
      <c r="R196" s="315"/>
      <c r="S196" s="315"/>
      <c r="T196" s="315"/>
      <c r="U196" s="315"/>
      <c r="V196" s="315"/>
      <c r="W196" s="315"/>
      <c r="X196" s="315"/>
      <c r="Y196" s="315"/>
      <c r="Z196" s="315"/>
      <c r="AA196" s="315"/>
      <c r="AB196" s="318"/>
    </row>
    <row r="197" spans="3:30" x14ac:dyDescent="0.2">
      <c r="C197" s="3"/>
      <c r="E197" s="3"/>
      <c r="F197" s="315"/>
      <c r="G197" s="315"/>
      <c r="H197" s="315"/>
      <c r="I197" s="315"/>
      <c r="J197" s="315"/>
      <c r="K197" s="315"/>
      <c r="L197" s="315"/>
      <c r="M197" s="315"/>
      <c r="N197" s="315"/>
      <c r="O197" s="315"/>
      <c r="P197" s="315"/>
      <c r="Q197" s="315"/>
      <c r="R197" s="315"/>
      <c r="S197" s="315"/>
      <c r="T197" s="315"/>
      <c r="U197" s="315"/>
      <c r="V197" s="315"/>
      <c r="W197" s="315"/>
      <c r="X197" s="315"/>
      <c r="Y197" s="315"/>
      <c r="Z197" s="315"/>
      <c r="AA197" s="315"/>
      <c r="AB197" s="318"/>
    </row>
    <row r="198" spans="3:30" x14ac:dyDescent="0.2">
      <c r="C198" s="3"/>
      <c r="E198" s="3"/>
      <c r="F198" s="315"/>
      <c r="G198" s="315"/>
      <c r="H198" s="315"/>
      <c r="I198" s="315"/>
      <c r="J198" s="315"/>
      <c r="K198" s="315"/>
      <c r="L198" s="315"/>
      <c r="M198" s="315"/>
      <c r="N198" s="315"/>
      <c r="O198" s="315"/>
      <c r="P198" s="315"/>
      <c r="Q198" s="315"/>
      <c r="R198" s="315"/>
      <c r="S198" s="315"/>
      <c r="T198" s="315"/>
      <c r="U198" s="315"/>
      <c r="V198" s="315"/>
      <c r="W198" s="315"/>
      <c r="X198" s="315"/>
      <c r="Y198" s="315"/>
      <c r="Z198" s="315"/>
      <c r="AA198" s="315"/>
      <c r="AB198" s="318"/>
    </row>
    <row r="199" spans="3:30" x14ac:dyDescent="0.2">
      <c r="C199" s="3"/>
      <c r="E199" s="3"/>
      <c r="F199" s="315"/>
      <c r="G199" s="315"/>
      <c r="H199" s="315"/>
      <c r="I199" s="315"/>
      <c r="J199" s="315"/>
      <c r="K199" s="315"/>
      <c r="L199" s="315"/>
      <c r="M199" s="315"/>
      <c r="N199" s="315"/>
      <c r="O199" s="315"/>
      <c r="P199" s="315"/>
      <c r="Q199" s="315"/>
      <c r="R199" s="315"/>
      <c r="S199" s="315"/>
      <c r="T199" s="315"/>
      <c r="U199" s="315"/>
      <c r="V199" s="315"/>
      <c r="W199" s="315"/>
      <c r="X199" s="315"/>
      <c r="Y199" s="315"/>
      <c r="Z199" s="315"/>
      <c r="AA199" s="315"/>
      <c r="AB199" s="318"/>
    </row>
    <row r="200" spans="3:30" x14ac:dyDescent="0.2">
      <c r="C200" s="3"/>
      <c r="E200" s="3"/>
      <c r="F200" s="315"/>
      <c r="G200" s="315"/>
      <c r="H200" s="315"/>
      <c r="I200" s="315"/>
      <c r="J200" s="315"/>
      <c r="K200" s="315"/>
      <c r="L200" s="315"/>
      <c r="M200" s="315"/>
      <c r="N200" s="315"/>
      <c r="O200" s="315"/>
      <c r="P200" s="315"/>
      <c r="Q200" s="315"/>
      <c r="R200" s="315"/>
      <c r="S200" s="315"/>
      <c r="T200" s="315"/>
      <c r="U200" s="315"/>
      <c r="V200" s="315"/>
      <c r="W200" s="315"/>
      <c r="X200" s="315"/>
      <c r="Y200" s="315"/>
      <c r="Z200" s="315"/>
      <c r="AA200" s="315"/>
      <c r="AB200" s="318"/>
    </row>
    <row r="201" spans="3:30" x14ac:dyDescent="0.2">
      <c r="C201" s="3"/>
      <c r="E201" s="3"/>
      <c r="G201" s="3"/>
      <c r="I201" s="3"/>
      <c r="K201" s="3"/>
      <c r="M201" s="3"/>
      <c r="O201" s="3"/>
      <c r="Q201" s="3"/>
      <c r="S201" s="3"/>
      <c r="U201" s="3"/>
      <c r="V201" s="3"/>
      <c r="W201" s="3"/>
      <c r="X201" s="3"/>
      <c r="Y201" s="3"/>
    </row>
    <row r="202" spans="3:30" x14ac:dyDescent="0.2">
      <c r="C202" s="3"/>
      <c r="E202" s="3"/>
      <c r="G202" s="3"/>
      <c r="I202" s="3"/>
      <c r="K202" s="3"/>
      <c r="M202" s="3"/>
      <c r="O202" s="3"/>
      <c r="Q202" s="3"/>
      <c r="S202" s="3"/>
      <c r="U202" s="3"/>
      <c r="V202" s="3"/>
      <c r="W202" s="3"/>
      <c r="X202" s="3"/>
      <c r="Y202" s="3"/>
    </row>
    <row r="203" spans="3:30" x14ac:dyDescent="0.2">
      <c r="C203" s="3"/>
      <c r="E203" s="3"/>
      <c r="G203" s="3"/>
      <c r="I203" s="3"/>
      <c r="K203" s="3"/>
      <c r="M203" s="3"/>
      <c r="O203" s="3"/>
      <c r="Q203" s="3"/>
      <c r="S203" s="3"/>
      <c r="U203" s="3"/>
      <c r="V203" s="3"/>
      <c r="W203" s="3"/>
      <c r="X203" s="3"/>
      <c r="Y203" s="3"/>
    </row>
    <row r="204" spans="3:30" x14ac:dyDescent="0.2">
      <c r="C204" s="3"/>
      <c r="E204" s="3"/>
      <c r="G204" s="3"/>
      <c r="I204" s="3"/>
      <c r="K204" s="3"/>
      <c r="M204" s="3"/>
      <c r="O204" s="3"/>
      <c r="Q204" s="3"/>
      <c r="S204" s="3"/>
      <c r="U204" s="3"/>
      <c r="V204" s="3"/>
      <c r="W204" s="3"/>
      <c r="X204" s="3"/>
      <c r="Y204" s="3"/>
    </row>
    <row r="205" spans="3:30" x14ac:dyDescent="0.2">
      <c r="C205" s="3"/>
      <c r="E205" s="3"/>
      <c r="G205" s="3"/>
      <c r="I205" s="3"/>
      <c r="K205" s="3"/>
      <c r="M205" s="3"/>
      <c r="O205" s="3"/>
      <c r="Q205" s="3"/>
      <c r="S205" s="3"/>
      <c r="U205" s="3"/>
      <c r="V205" s="3"/>
      <c r="W205" s="3"/>
      <c r="X205" s="3"/>
      <c r="Y205" s="3"/>
    </row>
    <row r="206" spans="3:30" x14ac:dyDescent="0.2">
      <c r="C206" s="3"/>
      <c r="E206" s="3"/>
      <c r="G206" s="3"/>
      <c r="I206" s="3"/>
      <c r="K206" s="3"/>
      <c r="M206" s="3"/>
      <c r="O206" s="3"/>
      <c r="Q206" s="3"/>
      <c r="S206" s="3"/>
      <c r="U206" s="3"/>
      <c r="V206" s="3"/>
      <c r="W206" s="3"/>
      <c r="X206" s="3"/>
      <c r="Y206" s="3"/>
    </row>
    <row r="207" spans="3:30" x14ac:dyDescent="0.2">
      <c r="C207" s="3"/>
      <c r="E207" s="3"/>
      <c r="G207" s="3"/>
      <c r="I207" s="3"/>
      <c r="K207" s="3"/>
      <c r="M207" s="3"/>
      <c r="O207" s="3"/>
      <c r="Q207" s="3"/>
      <c r="S207" s="3"/>
      <c r="U207" s="3"/>
      <c r="V207" s="3"/>
      <c r="W207" s="3"/>
      <c r="X207" s="3"/>
      <c r="Y207" s="3"/>
    </row>
    <row r="208" spans="3:30" x14ac:dyDescent="0.2">
      <c r="C208" s="3"/>
      <c r="E208" s="3"/>
      <c r="G208" s="3"/>
      <c r="I208" s="3"/>
      <c r="K208" s="3"/>
      <c r="M208" s="3"/>
      <c r="O208" s="3"/>
      <c r="Q208" s="3"/>
      <c r="S208" s="3"/>
      <c r="U208" s="3"/>
      <c r="V208" s="3"/>
      <c r="W208" s="3"/>
      <c r="X208" s="3"/>
      <c r="Y208" s="3"/>
    </row>
    <row r="209" spans="3:25" x14ac:dyDescent="0.2">
      <c r="C209" s="3"/>
      <c r="E209" s="3"/>
      <c r="G209" s="3"/>
      <c r="I209" s="3"/>
      <c r="K209" s="3"/>
      <c r="M209" s="3"/>
      <c r="O209" s="3"/>
      <c r="Q209" s="3"/>
      <c r="S209" s="3"/>
      <c r="U209" s="3"/>
      <c r="V209" s="3"/>
      <c r="W209" s="3"/>
      <c r="X209" s="3"/>
      <c r="Y209" s="3"/>
    </row>
    <row r="210" spans="3:25" x14ac:dyDescent="0.2">
      <c r="C210" s="3"/>
      <c r="E210" s="3"/>
      <c r="G210" s="3"/>
      <c r="I210" s="3"/>
      <c r="K210" s="3"/>
      <c r="M210" s="3"/>
      <c r="O210" s="3"/>
      <c r="Q210" s="3"/>
      <c r="S210" s="3"/>
      <c r="U210" s="3"/>
      <c r="V210" s="3"/>
      <c r="W210" s="3"/>
      <c r="X210" s="3"/>
      <c r="Y210" s="3"/>
    </row>
    <row r="211" spans="3:25" x14ac:dyDescent="0.2">
      <c r="C211" s="3"/>
      <c r="E211" s="3"/>
      <c r="G211" s="3"/>
      <c r="I211" s="3"/>
      <c r="K211" s="3"/>
      <c r="M211" s="3"/>
      <c r="O211" s="3"/>
      <c r="Q211" s="3"/>
      <c r="S211" s="3"/>
      <c r="U211" s="3"/>
      <c r="V211" s="3"/>
      <c r="W211" s="3"/>
      <c r="X211" s="3"/>
      <c r="Y211" s="3"/>
    </row>
    <row r="212" spans="3:25" x14ac:dyDescent="0.2">
      <c r="C212" s="3"/>
      <c r="E212" s="3"/>
      <c r="G212" s="3"/>
      <c r="I212" s="3"/>
      <c r="K212" s="3"/>
      <c r="M212" s="3"/>
      <c r="O212" s="3"/>
      <c r="Q212" s="3"/>
      <c r="S212" s="3"/>
      <c r="U212" s="3"/>
      <c r="V212" s="3"/>
      <c r="W212" s="3"/>
      <c r="X212" s="3"/>
      <c r="Y212" s="3"/>
    </row>
    <row r="213" spans="3:25" x14ac:dyDescent="0.2">
      <c r="C213" s="3"/>
      <c r="E213" s="3"/>
      <c r="G213" s="3"/>
      <c r="I213" s="3"/>
      <c r="K213" s="3"/>
      <c r="M213" s="3"/>
      <c r="O213" s="3"/>
      <c r="Q213" s="3"/>
      <c r="S213" s="3"/>
      <c r="U213" s="3"/>
      <c r="V213" s="3"/>
      <c r="W213" s="3"/>
      <c r="X213" s="3"/>
      <c r="Y213" s="3"/>
    </row>
    <row r="214" spans="3:25" x14ac:dyDescent="0.2">
      <c r="C214" s="3"/>
      <c r="E214" s="3"/>
      <c r="G214" s="3"/>
      <c r="I214" s="3"/>
      <c r="K214" s="3"/>
      <c r="M214" s="3"/>
      <c r="O214" s="3"/>
      <c r="Q214" s="3"/>
      <c r="S214" s="3"/>
      <c r="U214" s="3"/>
      <c r="V214" s="3"/>
      <c r="W214" s="3"/>
      <c r="X214" s="3"/>
      <c r="Y214" s="3"/>
    </row>
    <row r="215" spans="3:25" x14ac:dyDescent="0.2">
      <c r="C215" s="3"/>
      <c r="E215" s="3"/>
      <c r="G215" s="3"/>
      <c r="I215" s="3"/>
      <c r="K215" s="3"/>
      <c r="M215" s="3"/>
      <c r="O215" s="3"/>
      <c r="Q215" s="3"/>
      <c r="S215" s="3"/>
      <c r="U215" s="3"/>
      <c r="V215" s="3"/>
      <c r="W215" s="3"/>
      <c r="X215" s="3"/>
      <c r="Y215" s="3"/>
    </row>
    <row r="216" spans="3:25" x14ac:dyDescent="0.2">
      <c r="C216" s="3"/>
      <c r="E216" s="3"/>
      <c r="G216" s="3"/>
      <c r="I216" s="3"/>
      <c r="K216" s="3"/>
      <c r="M216" s="3"/>
      <c r="O216" s="3"/>
      <c r="Q216" s="3"/>
      <c r="S216" s="3"/>
      <c r="U216" s="3"/>
      <c r="V216" s="3"/>
      <c r="W216" s="3"/>
      <c r="X216" s="3"/>
      <c r="Y216" s="3"/>
    </row>
    <row r="217" spans="3:25" x14ac:dyDescent="0.2">
      <c r="C217" s="3"/>
      <c r="E217" s="3"/>
      <c r="G217" s="3"/>
      <c r="I217" s="3"/>
      <c r="K217" s="3"/>
      <c r="M217" s="3"/>
      <c r="O217" s="3"/>
      <c r="Q217" s="3"/>
      <c r="S217" s="3"/>
      <c r="U217" s="3"/>
      <c r="V217" s="3"/>
      <c r="W217" s="3"/>
      <c r="X217" s="3"/>
      <c r="Y217" s="3"/>
    </row>
    <row r="218" spans="3:25" x14ac:dyDescent="0.2">
      <c r="C218" s="3"/>
      <c r="E218" s="3"/>
      <c r="G218" s="3"/>
      <c r="I218" s="3"/>
      <c r="K218" s="3"/>
      <c r="M218" s="3"/>
      <c r="O218" s="3"/>
      <c r="Q218" s="3"/>
      <c r="S218" s="3"/>
      <c r="U218" s="3"/>
      <c r="V218" s="3"/>
      <c r="W218" s="3"/>
      <c r="X218" s="3"/>
      <c r="Y218" s="3"/>
    </row>
    <row r="219" spans="3:25" x14ac:dyDescent="0.2">
      <c r="C219" s="3"/>
      <c r="E219" s="3"/>
      <c r="G219" s="3"/>
      <c r="I219" s="3"/>
      <c r="K219" s="3"/>
      <c r="M219" s="3"/>
      <c r="O219" s="3"/>
      <c r="Q219" s="3"/>
      <c r="S219" s="3"/>
      <c r="U219" s="3"/>
      <c r="V219" s="3"/>
      <c r="W219" s="3"/>
      <c r="X219" s="3"/>
      <c r="Y219" s="3"/>
    </row>
    <row r="220" spans="3:25" x14ac:dyDescent="0.2">
      <c r="C220" s="3"/>
      <c r="E220" s="3"/>
      <c r="G220" s="3"/>
      <c r="I220" s="3"/>
      <c r="K220" s="3"/>
      <c r="M220" s="3"/>
      <c r="O220" s="3"/>
      <c r="Q220" s="3"/>
      <c r="S220" s="3"/>
      <c r="U220" s="3"/>
      <c r="V220" s="3"/>
      <c r="W220" s="3"/>
      <c r="X220" s="3"/>
      <c r="Y220" s="3"/>
    </row>
    <row r="221" spans="3:25" x14ac:dyDescent="0.2">
      <c r="C221" s="3"/>
      <c r="E221" s="3"/>
      <c r="G221" s="3"/>
      <c r="I221" s="3"/>
      <c r="K221" s="3"/>
      <c r="M221" s="3"/>
      <c r="O221" s="3"/>
      <c r="Q221" s="3"/>
      <c r="S221" s="3"/>
      <c r="U221" s="3"/>
      <c r="V221" s="3"/>
      <c r="W221" s="3"/>
      <c r="X221" s="3"/>
      <c r="Y221" s="3"/>
    </row>
    <row r="222" spans="3:25" x14ac:dyDescent="0.2">
      <c r="C222" s="3"/>
      <c r="E222" s="3"/>
      <c r="G222" s="3"/>
      <c r="I222" s="3"/>
      <c r="K222" s="3"/>
      <c r="M222" s="3"/>
      <c r="O222" s="3"/>
      <c r="Q222" s="3"/>
      <c r="S222" s="3"/>
      <c r="U222" s="3"/>
      <c r="V222" s="3"/>
      <c r="W222" s="3"/>
      <c r="X222" s="3"/>
      <c r="Y222" s="3"/>
    </row>
    <row r="223" spans="3:25" x14ac:dyDescent="0.2">
      <c r="C223" s="3"/>
      <c r="E223" s="3"/>
      <c r="G223" s="3"/>
      <c r="I223" s="3"/>
      <c r="K223" s="3"/>
      <c r="M223" s="3"/>
      <c r="O223" s="3"/>
      <c r="Q223" s="3"/>
      <c r="S223" s="3"/>
      <c r="U223" s="3"/>
      <c r="V223" s="3"/>
      <c r="W223" s="3"/>
      <c r="X223" s="3"/>
      <c r="Y223" s="3"/>
    </row>
    <row r="224" spans="3:25" x14ac:dyDescent="0.2">
      <c r="C224" s="3"/>
      <c r="E224" s="3"/>
      <c r="G224" s="3"/>
      <c r="I224" s="3"/>
      <c r="K224" s="3"/>
      <c r="M224" s="3"/>
      <c r="O224" s="3"/>
      <c r="Q224" s="3"/>
      <c r="S224" s="3"/>
      <c r="U224" s="3"/>
      <c r="V224" s="3"/>
      <c r="W224" s="3"/>
      <c r="X224" s="3"/>
      <c r="Y224" s="3"/>
    </row>
    <row r="225" spans="3:25" x14ac:dyDescent="0.2">
      <c r="C225" s="3"/>
      <c r="E225" s="3"/>
      <c r="G225" s="3"/>
      <c r="I225" s="3"/>
      <c r="K225" s="3"/>
      <c r="M225" s="3"/>
      <c r="O225" s="3"/>
      <c r="Q225" s="3"/>
      <c r="S225" s="3"/>
      <c r="U225" s="3"/>
      <c r="V225" s="3"/>
      <c r="W225" s="3"/>
      <c r="X225" s="3"/>
      <c r="Y225" s="3"/>
    </row>
    <row r="226" spans="3:25" x14ac:dyDescent="0.2">
      <c r="C226" s="3"/>
      <c r="E226" s="3"/>
      <c r="G226" s="3"/>
      <c r="I226" s="3"/>
      <c r="K226" s="3"/>
      <c r="M226" s="3"/>
      <c r="O226" s="3"/>
      <c r="Q226" s="3"/>
      <c r="S226" s="3"/>
      <c r="U226" s="3"/>
      <c r="V226" s="3"/>
      <c r="W226" s="3"/>
      <c r="X226" s="3"/>
      <c r="Y226" s="3"/>
    </row>
    <row r="227" spans="3:25" x14ac:dyDescent="0.2">
      <c r="C227" s="3"/>
      <c r="E227" s="3"/>
      <c r="G227" s="3"/>
      <c r="I227" s="3"/>
      <c r="K227" s="3"/>
      <c r="M227" s="3"/>
      <c r="O227" s="3"/>
      <c r="Q227" s="3"/>
      <c r="S227" s="3"/>
      <c r="U227" s="3"/>
      <c r="V227" s="3"/>
      <c r="W227" s="3"/>
      <c r="X227" s="3"/>
      <c r="Y227" s="3"/>
    </row>
    <row r="228" spans="3:25" x14ac:dyDescent="0.2">
      <c r="C228" s="3"/>
      <c r="E228" s="3"/>
      <c r="G228" s="3"/>
      <c r="I228" s="3"/>
      <c r="K228" s="3"/>
      <c r="M228" s="3"/>
      <c r="O228" s="3"/>
      <c r="Q228" s="3"/>
      <c r="S228" s="3"/>
      <c r="U228" s="3"/>
      <c r="V228" s="3"/>
      <c r="W228" s="3"/>
      <c r="X228" s="3"/>
      <c r="Y228" s="3"/>
    </row>
    <row r="229" spans="3:25" x14ac:dyDescent="0.2">
      <c r="C229" s="3"/>
      <c r="E229" s="3"/>
      <c r="G229" s="3"/>
      <c r="I229" s="3"/>
      <c r="K229" s="3"/>
      <c r="M229" s="3"/>
      <c r="O229" s="3"/>
      <c r="Q229" s="3"/>
      <c r="S229" s="3"/>
      <c r="U229" s="3"/>
      <c r="V229" s="3"/>
      <c r="W229" s="3"/>
      <c r="X229" s="3"/>
      <c r="Y229" s="3"/>
    </row>
    <row r="230" spans="3:25" x14ac:dyDescent="0.2">
      <c r="C230" s="3"/>
      <c r="E230" s="3"/>
      <c r="G230" s="3"/>
      <c r="I230" s="3"/>
      <c r="K230" s="3"/>
      <c r="M230" s="3"/>
      <c r="O230" s="3"/>
      <c r="Q230" s="3"/>
      <c r="S230" s="3"/>
      <c r="U230" s="3"/>
      <c r="V230" s="3"/>
      <c r="W230" s="3"/>
      <c r="X230" s="3"/>
      <c r="Y230" s="3"/>
    </row>
    <row r="231" spans="3:25" x14ac:dyDescent="0.2">
      <c r="C231" s="3"/>
      <c r="E231" s="3"/>
      <c r="G231" s="3"/>
      <c r="I231" s="3"/>
      <c r="K231" s="3"/>
      <c r="M231" s="3"/>
      <c r="O231" s="3"/>
      <c r="Q231" s="3"/>
      <c r="S231" s="3"/>
      <c r="U231" s="3"/>
      <c r="V231" s="3"/>
      <c r="W231" s="3"/>
      <c r="X231" s="3"/>
      <c r="Y231" s="3"/>
    </row>
    <row r="232" spans="3:25" x14ac:dyDescent="0.2">
      <c r="C232" s="3"/>
      <c r="E232" s="3"/>
      <c r="G232" s="3"/>
      <c r="I232" s="3"/>
      <c r="K232" s="3"/>
      <c r="M232" s="3"/>
      <c r="O232" s="3"/>
      <c r="Q232" s="3"/>
      <c r="S232" s="3"/>
      <c r="U232" s="3"/>
      <c r="V232" s="3"/>
      <c r="W232" s="3"/>
      <c r="X232" s="3"/>
      <c r="Y232" s="3"/>
    </row>
    <row r="233" spans="3:25" x14ac:dyDescent="0.2">
      <c r="C233" s="3"/>
      <c r="E233" s="3"/>
      <c r="G233" s="3"/>
      <c r="I233" s="3"/>
      <c r="K233" s="3"/>
      <c r="M233" s="3"/>
      <c r="O233" s="3"/>
      <c r="Q233" s="3"/>
      <c r="S233" s="3"/>
      <c r="U233" s="3"/>
      <c r="V233" s="3"/>
      <c r="W233" s="3"/>
      <c r="X233" s="3"/>
      <c r="Y233" s="3"/>
    </row>
    <row r="234" spans="3:25" x14ac:dyDescent="0.2">
      <c r="C234" s="3"/>
      <c r="E234" s="3"/>
      <c r="G234" s="3"/>
      <c r="I234" s="3"/>
      <c r="K234" s="3"/>
      <c r="M234" s="3"/>
      <c r="O234" s="3"/>
      <c r="Q234" s="3"/>
      <c r="S234" s="3"/>
      <c r="U234" s="3"/>
      <c r="V234" s="3"/>
      <c r="W234" s="3"/>
      <c r="X234" s="3"/>
      <c r="Y234" s="3"/>
    </row>
    <row r="235" spans="3:25" x14ac:dyDescent="0.2">
      <c r="C235" s="3"/>
      <c r="E235" s="3"/>
      <c r="G235" s="3"/>
      <c r="I235" s="3"/>
      <c r="K235" s="3"/>
      <c r="M235" s="3"/>
      <c r="O235" s="3"/>
      <c r="Q235" s="3"/>
      <c r="S235" s="3"/>
      <c r="U235" s="3"/>
      <c r="V235" s="3"/>
      <c r="W235" s="3"/>
      <c r="X235" s="3"/>
      <c r="Y235" s="3"/>
    </row>
    <row r="236" spans="3:25" x14ac:dyDescent="0.2">
      <c r="C236" s="3"/>
      <c r="E236" s="3"/>
      <c r="G236" s="3"/>
      <c r="I236" s="3"/>
      <c r="K236" s="3"/>
      <c r="M236" s="3"/>
      <c r="O236" s="3"/>
      <c r="Q236" s="3"/>
      <c r="S236" s="3"/>
      <c r="U236" s="3"/>
      <c r="V236" s="3"/>
      <c r="W236" s="3"/>
      <c r="X236" s="3"/>
      <c r="Y236" s="3"/>
    </row>
    <row r="237" spans="3:25" x14ac:dyDescent="0.2">
      <c r="C237" s="3"/>
      <c r="E237" s="3"/>
      <c r="G237" s="3"/>
      <c r="I237" s="3"/>
      <c r="K237" s="3"/>
      <c r="M237" s="3"/>
      <c r="O237" s="3"/>
      <c r="Q237" s="3"/>
      <c r="S237" s="3"/>
      <c r="U237" s="3"/>
      <c r="V237" s="3"/>
      <c r="W237" s="3"/>
      <c r="X237" s="3"/>
      <c r="Y237" s="3"/>
    </row>
    <row r="238" spans="3:25" x14ac:dyDescent="0.2">
      <c r="C238" s="3"/>
      <c r="E238" s="3"/>
      <c r="G238" s="3"/>
      <c r="I238" s="3"/>
      <c r="K238" s="3"/>
      <c r="M238" s="3"/>
      <c r="O238" s="3"/>
      <c r="Q238" s="3"/>
      <c r="S238" s="3"/>
      <c r="U238" s="3"/>
      <c r="V238" s="3"/>
      <c r="W238" s="3"/>
      <c r="X238" s="3"/>
      <c r="Y238" s="3"/>
    </row>
    <row r="239" spans="3:25" x14ac:dyDescent="0.2">
      <c r="C239" s="3"/>
      <c r="E239" s="3"/>
      <c r="G239" s="3"/>
      <c r="I239" s="3"/>
      <c r="K239" s="3"/>
      <c r="M239" s="3"/>
      <c r="O239" s="3"/>
      <c r="Q239" s="3"/>
      <c r="S239" s="3"/>
      <c r="U239" s="3"/>
      <c r="V239" s="3"/>
      <c r="W239" s="3"/>
      <c r="X239" s="3"/>
      <c r="Y239" s="3"/>
    </row>
    <row r="240" spans="3:25" x14ac:dyDescent="0.2">
      <c r="C240" s="3"/>
      <c r="E240" s="3"/>
      <c r="G240" s="3"/>
      <c r="I240" s="3"/>
      <c r="K240" s="3"/>
      <c r="M240" s="3"/>
      <c r="O240" s="3"/>
      <c r="Q240" s="3"/>
      <c r="S240" s="3"/>
      <c r="U240" s="3"/>
      <c r="V240" s="3"/>
      <c r="W240" s="3"/>
      <c r="X240" s="3"/>
      <c r="Y240" s="3"/>
    </row>
    <row r="241" spans="3:25" x14ac:dyDescent="0.2">
      <c r="C241" s="3"/>
      <c r="E241" s="3"/>
      <c r="G241" s="3"/>
      <c r="I241" s="3"/>
      <c r="K241" s="3"/>
      <c r="M241" s="3"/>
      <c r="O241" s="3"/>
      <c r="Q241" s="3"/>
      <c r="S241" s="3"/>
      <c r="U241" s="3"/>
      <c r="V241" s="3"/>
      <c r="W241" s="3"/>
      <c r="X241" s="3"/>
      <c r="Y241" s="3"/>
    </row>
    <row r="242" spans="3:25" x14ac:dyDescent="0.2">
      <c r="C242" s="3"/>
      <c r="E242" s="3"/>
      <c r="G242" s="3"/>
      <c r="I242" s="3"/>
      <c r="K242" s="3"/>
      <c r="M242" s="3"/>
      <c r="O242" s="3"/>
      <c r="Q242" s="3"/>
      <c r="S242" s="3"/>
      <c r="U242" s="3"/>
      <c r="V242" s="3"/>
      <c r="W242" s="3"/>
      <c r="X242" s="3"/>
      <c r="Y242" s="3"/>
    </row>
    <row r="243" spans="3:25" x14ac:dyDescent="0.2">
      <c r="C243" s="3"/>
      <c r="E243" s="3"/>
      <c r="G243" s="3"/>
      <c r="I243" s="3"/>
      <c r="K243" s="3"/>
      <c r="M243" s="3"/>
      <c r="O243" s="3"/>
      <c r="Q243" s="3"/>
      <c r="S243" s="3"/>
      <c r="U243" s="3"/>
      <c r="V243" s="3"/>
      <c r="W243" s="3"/>
      <c r="X243" s="3"/>
      <c r="Y243" s="3"/>
    </row>
    <row r="244" spans="3:25" x14ac:dyDescent="0.2">
      <c r="C244" s="3"/>
      <c r="E244" s="3"/>
      <c r="G244" s="3"/>
      <c r="I244" s="3"/>
      <c r="K244" s="3"/>
      <c r="M244" s="3"/>
      <c r="O244" s="3"/>
      <c r="Q244" s="3"/>
      <c r="S244" s="3"/>
      <c r="U244" s="3"/>
      <c r="V244" s="3"/>
      <c r="W244" s="3"/>
      <c r="X244" s="3"/>
      <c r="Y244" s="3"/>
    </row>
    <row r="245" spans="3:25" x14ac:dyDescent="0.2">
      <c r="C245" s="3"/>
      <c r="E245" s="3"/>
      <c r="G245" s="3"/>
      <c r="I245" s="3"/>
      <c r="K245" s="3"/>
      <c r="M245" s="3"/>
      <c r="O245" s="3"/>
      <c r="Q245" s="3"/>
      <c r="S245" s="3"/>
      <c r="U245" s="3"/>
      <c r="V245" s="3"/>
      <c r="W245" s="3"/>
      <c r="X245" s="3"/>
      <c r="Y245" s="3"/>
    </row>
    <row r="246" spans="3:25" x14ac:dyDescent="0.2">
      <c r="C246" s="3"/>
      <c r="E246" s="3"/>
      <c r="G246" s="3"/>
      <c r="I246" s="3"/>
      <c r="K246" s="3"/>
      <c r="M246" s="3"/>
      <c r="O246" s="3"/>
      <c r="Q246" s="3"/>
      <c r="S246" s="3"/>
      <c r="U246" s="3"/>
      <c r="V246" s="3"/>
      <c r="W246" s="3"/>
      <c r="X246" s="3"/>
      <c r="Y246" s="3"/>
    </row>
    <row r="247" spans="3:25" x14ac:dyDescent="0.2">
      <c r="C247" s="3"/>
      <c r="E247" s="3"/>
      <c r="G247" s="3"/>
      <c r="I247" s="3"/>
      <c r="K247" s="3"/>
      <c r="M247" s="3"/>
      <c r="O247" s="3"/>
      <c r="Q247" s="3"/>
      <c r="S247" s="3"/>
      <c r="U247" s="3"/>
      <c r="V247" s="3"/>
      <c r="W247" s="3"/>
      <c r="X247" s="3"/>
      <c r="Y247" s="3"/>
    </row>
    <row r="248" spans="3:25" x14ac:dyDescent="0.2">
      <c r="C248" s="3"/>
      <c r="E248" s="3"/>
      <c r="G248" s="3"/>
      <c r="I248" s="3"/>
      <c r="K248" s="3"/>
      <c r="M248" s="3"/>
      <c r="O248" s="3"/>
      <c r="Q248" s="3"/>
      <c r="S248" s="3"/>
      <c r="U248" s="3"/>
      <c r="V248" s="3"/>
      <c r="W248" s="3"/>
      <c r="X248" s="3"/>
      <c r="Y248" s="3"/>
    </row>
    <row r="249" spans="3:25" x14ac:dyDescent="0.2">
      <c r="C249" s="3"/>
      <c r="E249" s="3"/>
      <c r="G249" s="3"/>
      <c r="I249" s="3"/>
      <c r="K249" s="3"/>
      <c r="M249" s="3"/>
      <c r="O249" s="3"/>
      <c r="Q249" s="3"/>
      <c r="S249" s="3"/>
      <c r="U249" s="3"/>
      <c r="V249" s="3"/>
      <c r="W249" s="3"/>
      <c r="X249" s="3"/>
      <c r="Y249" s="3"/>
    </row>
    <row r="250" spans="3:25" x14ac:dyDescent="0.2">
      <c r="C250" s="3"/>
      <c r="E250" s="3"/>
      <c r="G250" s="3"/>
      <c r="I250" s="3"/>
      <c r="K250" s="3"/>
      <c r="M250" s="3"/>
      <c r="O250" s="3"/>
      <c r="Q250" s="3"/>
      <c r="S250" s="3"/>
      <c r="U250" s="3"/>
      <c r="V250" s="3"/>
      <c r="W250" s="3"/>
      <c r="X250" s="3"/>
      <c r="Y250" s="3"/>
    </row>
    <row r="251" spans="3:25" x14ac:dyDescent="0.2">
      <c r="C251" s="3"/>
      <c r="E251" s="3"/>
      <c r="G251" s="3"/>
      <c r="I251" s="3"/>
      <c r="K251" s="3"/>
      <c r="M251" s="3"/>
      <c r="O251" s="3"/>
      <c r="Q251" s="3"/>
      <c r="S251" s="3"/>
      <c r="U251" s="3"/>
      <c r="V251" s="3"/>
      <c r="W251" s="3"/>
      <c r="X251" s="3"/>
      <c r="Y251" s="3"/>
    </row>
    <row r="252" spans="3:25" x14ac:dyDescent="0.2">
      <c r="C252" s="3"/>
      <c r="E252" s="3"/>
      <c r="G252" s="3"/>
      <c r="I252" s="3"/>
      <c r="K252" s="3"/>
      <c r="M252" s="3"/>
      <c r="O252" s="3"/>
      <c r="Q252" s="3"/>
      <c r="S252" s="3"/>
      <c r="U252" s="3"/>
      <c r="V252" s="3"/>
      <c r="W252" s="3"/>
      <c r="X252" s="3"/>
      <c r="Y252" s="3"/>
    </row>
    <row r="253" spans="3:25" x14ac:dyDescent="0.2">
      <c r="C253" s="3"/>
      <c r="E253" s="3"/>
      <c r="G253" s="3"/>
      <c r="I253" s="3"/>
      <c r="K253" s="3"/>
      <c r="M253" s="3"/>
      <c r="O253" s="3"/>
      <c r="Q253" s="3"/>
      <c r="S253" s="3"/>
      <c r="U253" s="3"/>
      <c r="V253" s="3"/>
      <c r="W253" s="3"/>
      <c r="X253" s="3"/>
      <c r="Y253" s="3"/>
    </row>
    <row r="254" spans="3:25" x14ac:dyDescent="0.2">
      <c r="C254" s="3"/>
      <c r="E254" s="3"/>
      <c r="G254" s="3"/>
      <c r="I254" s="3"/>
      <c r="K254" s="3"/>
      <c r="M254" s="3"/>
      <c r="O254" s="3"/>
      <c r="Q254" s="3"/>
      <c r="S254" s="3"/>
      <c r="U254" s="3"/>
      <c r="V254" s="3"/>
      <c r="W254" s="3"/>
      <c r="X254" s="3"/>
      <c r="Y254" s="3"/>
    </row>
    <row r="255" spans="3:25" x14ac:dyDescent="0.2">
      <c r="C255" s="3"/>
      <c r="E255" s="3"/>
      <c r="G255" s="3"/>
      <c r="I255" s="3"/>
      <c r="K255" s="3"/>
      <c r="M255" s="3"/>
      <c r="O255" s="3"/>
      <c r="Q255" s="3"/>
      <c r="S255" s="3"/>
      <c r="U255" s="3"/>
      <c r="V255" s="3"/>
      <c r="W255" s="3"/>
      <c r="X255" s="3"/>
      <c r="Y255" s="3"/>
    </row>
    <row r="256" spans="3:25" x14ac:dyDescent="0.2">
      <c r="C256" s="3"/>
      <c r="E256" s="3"/>
      <c r="G256" s="3"/>
      <c r="I256" s="3"/>
      <c r="K256" s="3"/>
      <c r="M256" s="3"/>
      <c r="O256" s="3"/>
      <c r="Q256" s="3"/>
      <c r="S256" s="3"/>
      <c r="U256" s="3"/>
      <c r="V256" s="3"/>
      <c r="W256" s="3"/>
      <c r="X256" s="3"/>
      <c r="Y256" s="3"/>
    </row>
    <row r="257" spans="3:25" x14ac:dyDescent="0.2">
      <c r="C257" s="3"/>
      <c r="E257" s="3"/>
      <c r="G257" s="3"/>
      <c r="I257" s="3"/>
      <c r="K257" s="3"/>
      <c r="M257" s="3"/>
      <c r="O257" s="3"/>
      <c r="Q257" s="3"/>
      <c r="S257" s="3"/>
      <c r="U257" s="3"/>
      <c r="V257" s="3"/>
      <c r="W257" s="3"/>
      <c r="X257" s="3"/>
      <c r="Y257" s="3"/>
    </row>
    <row r="258" spans="3:25" x14ac:dyDescent="0.2">
      <c r="C258" s="3"/>
      <c r="E258" s="3"/>
      <c r="G258" s="3"/>
      <c r="I258" s="3"/>
      <c r="K258" s="3"/>
      <c r="M258" s="3"/>
      <c r="O258" s="3"/>
      <c r="Q258" s="3"/>
      <c r="S258" s="3"/>
      <c r="U258" s="3"/>
      <c r="V258" s="3"/>
      <c r="W258" s="3"/>
      <c r="X258" s="3"/>
      <c r="Y258" s="3"/>
    </row>
    <row r="259" spans="3:25" x14ac:dyDescent="0.2">
      <c r="C259" s="3"/>
      <c r="E259" s="3"/>
      <c r="G259" s="3"/>
      <c r="I259" s="3"/>
      <c r="K259" s="3"/>
      <c r="M259" s="3"/>
      <c r="O259" s="3"/>
      <c r="Q259" s="3"/>
      <c r="S259" s="3"/>
      <c r="U259" s="3"/>
      <c r="V259" s="3"/>
      <c r="W259" s="3"/>
      <c r="X259" s="3"/>
      <c r="Y259" s="3"/>
    </row>
    <row r="260" spans="3:25" x14ac:dyDescent="0.2">
      <c r="C260" s="3"/>
      <c r="E260" s="3"/>
      <c r="G260" s="3"/>
      <c r="I260" s="3"/>
      <c r="K260" s="3"/>
      <c r="M260" s="3"/>
      <c r="O260" s="3"/>
      <c r="Q260" s="3"/>
      <c r="S260" s="3"/>
      <c r="U260" s="3"/>
      <c r="V260" s="3"/>
      <c r="W260" s="3"/>
      <c r="X260" s="3"/>
      <c r="Y260" s="3"/>
    </row>
    <row r="261" spans="3:25" x14ac:dyDescent="0.2">
      <c r="C261" s="3"/>
      <c r="E261" s="3"/>
      <c r="G261" s="3"/>
      <c r="I261" s="3"/>
      <c r="K261" s="3"/>
      <c r="M261" s="3"/>
      <c r="O261" s="3"/>
      <c r="Q261" s="3"/>
      <c r="S261" s="3"/>
      <c r="U261" s="3"/>
      <c r="V261" s="3"/>
      <c r="W261" s="3"/>
      <c r="X261" s="3"/>
      <c r="Y261" s="3"/>
    </row>
    <row r="262" spans="3:25" x14ac:dyDescent="0.2">
      <c r="C262" s="3"/>
      <c r="E262" s="3"/>
      <c r="G262" s="3"/>
      <c r="I262" s="3"/>
      <c r="K262" s="3"/>
      <c r="M262" s="3"/>
      <c r="O262" s="3"/>
      <c r="Q262" s="3"/>
      <c r="S262" s="3"/>
      <c r="U262" s="3"/>
      <c r="V262" s="3"/>
      <c r="W262" s="3"/>
      <c r="X262" s="3"/>
      <c r="Y262" s="3"/>
    </row>
    <row r="263" spans="3:25" x14ac:dyDescent="0.2">
      <c r="C263" s="3"/>
      <c r="E263" s="3"/>
      <c r="G263" s="3"/>
      <c r="I263" s="3"/>
      <c r="K263" s="3"/>
      <c r="M263" s="3"/>
      <c r="O263" s="3"/>
      <c r="Q263" s="3"/>
      <c r="S263" s="3"/>
      <c r="U263" s="3"/>
      <c r="V263" s="3"/>
      <c r="W263" s="3"/>
      <c r="X263" s="3"/>
      <c r="Y263" s="3"/>
    </row>
    <row r="264" spans="3:25" x14ac:dyDescent="0.2">
      <c r="C264" s="3"/>
      <c r="E264" s="3"/>
      <c r="G264" s="3"/>
      <c r="I264" s="3"/>
      <c r="K264" s="3"/>
      <c r="M264" s="3"/>
      <c r="O264" s="3"/>
      <c r="Q264" s="3"/>
      <c r="S264" s="3"/>
      <c r="U264" s="3"/>
      <c r="V264" s="3"/>
      <c r="W264" s="3"/>
      <c r="X264" s="3"/>
      <c r="Y264" s="3"/>
    </row>
    <row r="265" spans="3:25" x14ac:dyDescent="0.2">
      <c r="C265" s="3"/>
      <c r="E265" s="3"/>
      <c r="G265" s="3"/>
      <c r="I265" s="3"/>
      <c r="K265" s="3"/>
      <c r="M265" s="3"/>
      <c r="O265" s="3"/>
      <c r="Q265" s="3"/>
      <c r="S265" s="3"/>
      <c r="U265" s="3"/>
      <c r="V265" s="3"/>
      <c r="W265" s="3"/>
      <c r="X265" s="3"/>
      <c r="Y265" s="3"/>
    </row>
    <row r="266" spans="3:25" x14ac:dyDescent="0.2">
      <c r="C266" s="3"/>
      <c r="E266" s="3"/>
      <c r="G266" s="3"/>
      <c r="I266" s="3"/>
      <c r="K266" s="3"/>
      <c r="M266" s="3"/>
      <c r="O266" s="3"/>
      <c r="Q266" s="3"/>
      <c r="S266" s="3"/>
      <c r="U266" s="3"/>
      <c r="V266" s="3"/>
      <c r="W266" s="3"/>
      <c r="X266" s="3"/>
      <c r="Y266" s="3"/>
    </row>
    <row r="267" spans="3:25" x14ac:dyDescent="0.2">
      <c r="C267" s="3"/>
      <c r="E267" s="3"/>
      <c r="G267" s="3"/>
      <c r="I267" s="3"/>
      <c r="K267" s="3"/>
      <c r="M267" s="3"/>
      <c r="O267" s="3"/>
      <c r="Q267" s="3"/>
      <c r="S267" s="3"/>
      <c r="U267" s="3"/>
      <c r="V267" s="3"/>
      <c r="W267" s="3"/>
      <c r="X267" s="3"/>
      <c r="Y267" s="3"/>
    </row>
    <row r="268" spans="3:25" x14ac:dyDescent="0.2">
      <c r="C268" s="3"/>
      <c r="E268" s="3"/>
      <c r="G268" s="3"/>
      <c r="I268" s="3"/>
      <c r="K268" s="3"/>
      <c r="M268" s="3"/>
      <c r="O268" s="3"/>
      <c r="Q268" s="3"/>
      <c r="S268" s="3"/>
      <c r="U268" s="3"/>
      <c r="V268" s="3"/>
      <c r="W268" s="3"/>
      <c r="X268" s="3"/>
      <c r="Y268" s="3"/>
    </row>
    <row r="269" spans="3:25" x14ac:dyDescent="0.2">
      <c r="C269" s="3"/>
      <c r="E269" s="3"/>
      <c r="G269" s="3"/>
      <c r="I269" s="3"/>
      <c r="K269" s="3"/>
      <c r="M269" s="3"/>
      <c r="O269" s="3"/>
      <c r="Q269" s="3"/>
      <c r="S269" s="3"/>
      <c r="U269" s="3"/>
      <c r="V269" s="3"/>
      <c r="W269" s="3"/>
      <c r="X269" s="3"/>
      <c r="Y269" s="3"/>
    </row>
    <row r="270" spans="3:25" x14ac:dyDescent="0.2">
      <c r="C270" s="3"/>
      <c r="E270" s="3"/>
      <c r="G270" s="3"/>
      <c r="I270" s="3"/>
      <c r="K270" s="3"/>
      <c r="M270" s="3"/>
      <c r="O270" s="3"/>
      <c r="Q270" s="3"/>
      <c r="S270" s="3"/>
      <c r="U270" s="3"/>
      <c r="V270" s="3"/>
      <c r="W270" s="3"/>
      <c r="X270" s="3"/>
      <c r="Y270" s="3"/>
    </row>
    <row r="271" spans="3:25" x14ac:dyDescent="0.2">
      <c r="C271" s="3"/>
      <c r="E271" s="3"/>
      <c r="G271" s="3"/>
      <c r="I271" s="3"/>
      <c r="K271" s="3"/>
      <c r="M271" s="3"/>
      <c r="O271" s="3"/>
      <c r="Q271" s="3"/>
      <c r="S271" s="3"/>
      <c r="U271" s="3"/>
      <c r="V271" s="3"/>
      <c r="W271" s="3"/>
      <c r="X271" s="3"/>
      <c r="Y271" s="3"/>
    </row>
    <row r="272" spans="3:25" x14ac:dyDescent="0.2">
      <c r="C272" s="3"/>
      <c r="E272" s="3"/>
      <c r="G272" s="3"/>
      <c r="I272" s="3"/>
      <c r="K272" s="3"/>
      <c r="M272" s="3"/>
      <c r="O272" s="3"/>
      <c r="Q272" s="3"/>
      <c r="S272" s="3"/>
      <c r="U272" s="3"/>
      <c r="V272" s="3"/>
      <c r="W272" s="3"/>
      <c r="X272" s="3"/>
      <c r="Y272" s="3"/>
    </row>
    <row r="273" spans="3:25" x14ac:dyDescent="0.2">
      <c r="C273" s="3"/>
      <c r="E273" s="3"/>
      <c r="G273" s="3"/>
      <c r="I273" s="3"/>
      <c r="K273" s="3"/>
      <c r="M273" s="3"/>
      <c r="O273" s="3"/>
      <c r="Q273" s="3"/>
      <c r="S273" s="3"/>
      <c r="U273" s="3"/>
      <c r="V273" s="3"/>
      <c r="W273" s="3"/>
      <c r="X273" s="3"/>
      <c r="Y273" s="3"/>
    </row>
    <row r="274" spans="3:25" x14ac:dyDescent="0.2">
      <c r="C274" s="3"/>
      <c r="E274" s="3"/>
      <c r="G274" s="3"/>
      <c r="I274" s="3"/>
      <c r="K274" s="3"/>
      <c r="M274" s="3"/>
      <c r="O274" s="3"/>
      <c r="Q274" s="3"/>
      <c r="S274" s="3"/>
      <c r="U274" s="3"/>
      <c r="V274" s="3"/>
      <c r="W274" s="3"/>
      <c r="X274" s="3"/>
      <c r="Y274" s="3"/>
    </row>
    <row r="275" spans="3:25" x14ac:dyDescent="0.2">
      <c r="C275" s="3"/>
      <c r="E275" s="3"/>
      <c r="G275" s="3"/>
      <c r="I275" s="3"/>
      <c r="K275" s="3"/>
      <c r="M275" s="3"/>
      <c r="O275" s="3"/>
      <c r="Q275" s="3"/>
      <c r="S275" s="3"/>
      <c r="U275" s="3"/>
      <c r="V275" s="3"/>
      <c r="W275" s="3"/>
      <c r="X275" s="3"/>
      <c r="Y275" s="3"/>
    </row>
    <row r="276" spans="3:25" x14ac:dyDescent="0.2">
      <c r="C276" s="3"/>
      <c r="E276" s="3"/>
      <c r="G276" s="3"/>
      <c r="I276" s="3"/>
      <c r="K276" s="3"/>
      <c r="M276" s="3"/>
      <c r="O276" s="3"/>
      <c r="Q276" s="3"/>
      <c r="S276" s="3"/>
      <c r="U276" s="3"/>
      <c r="V276" s="3"/>
      <c r="W276" s="3"/>
      <c r="X276" s="3"/>
      <c r="Y276" s="3"/>
    </row>
    <row r="277" spans="3:25" x14ac:dyDescent="0.2">
      <c r="C277" s="3"/>
      <c r="E277" s="3"/>
      <c r="G277" s="3"/>
      <c r="I277" s="3"/>
      <c r="K277" s="3"/>
      <c r="M277" s="3"/>
      <c r="O277" s="3"/>
      <c r="Q277" s="3"/>
      <c r="S277" s="3"/>
      <c r="U277" s="3"/>
      <c r="V277" s="3"/>
      <c r="W277" s="3"/>
      <c r="X277" s="3"/>
      <c r="Y277" s="3"/>
    </row>
    <row r="278" spans="3:25" x14ac:dyDescent="0.2">
      <c r="C278" s="3"/>
      <c r="E278" s="3"/>
      <c r="G278" s="3"/>
      <c r="I278" s="3"/>
      <c r="K278" s="3"/>
      <c r="M278" s="3"/>
      <c r="O278" s="3"/>
      <c r="Q278" s="3"/>
      <c r="S278" s="3"/>
      <c r="U278" s="3"/>
      <c r="V278" s="3"/>
      <c r="W278" s="3"/>
      <c r="X278" s="3"/>
      <c r="Y278" s="3"/>
    </row>
    <row r="279" spans="3:25" x14ac:dyDescent="0.2">
      <c r="C279" s="3"/>
      <c r="E279" s="3"/>
      <c r="G279" s="3"/>
      <c r="I279" s="3"/>
      <c r="K279" s="3"/>
      <c r="M279" s="3"/>
      <c r="O279" s="3"/>
      <c r="Q279" s="3"/>
      <c r="S279" s="3"/>
      <c r="U279" s="3"/>
      <c r="V279" s="3"/>
      <c r="W279" s="3"/>
      <c r="X279" s="3"/>
      <c r="Y279" s="3"/>
    </row>
    <row r="280" spans="3:25" x14ac:dyDescent="0.2">
      <c r="C280" s="3"/>
      <c r="E280" s="3"/>
      <c r="G280" s="3"/>
      <c r="I280" s="3"/>
      <c r="K280" s="3"/>
      <c r="M280" s="3"/>
      <c r="O280" s="3"/>
      <c r="Q280" s="3"/>
      <c r="S280" s="3"/>
      <c r="U280" s="3"/>
      <c r="V280" s="3"/>
      <c r="W280" s="3"/>
      <c r="X280" s="3"/>
      <c r="Y280" s="3"/>
    </row>
    <row r="281" spans="3:25" x14ac:dyDescent="0.2">
      <c r="C281" s="3"/>
      <c r="E281" s="3"/>
      <c r="G281" s="3"/>
      <c r="I281" s="3"/>
      <c r="K281" s="3"/>
      <c r="M281" s="3"/>
      <c r="O281" s="3"/>
      <c r="Q281" s="3"/>
      <c r="S281" s="3"/>
      <c r="U281" s="3"/>
      <c r="V281" s="3"/>
      <c r="W281" s="3"/>
      <c r="X281" s="3"/>
      <c r="Y281" s="3"/>
    </row>
    <row r="282" spans="3:25" x14ac:dyDescent="0.2">
      <c r="C282" s="3"/>
      <c r="E282" s="3"/>
      <c r="G282" s="3"/>
      <c r="I282" s="3"/>
      <c r="K282" s="3"/>
      <c r="M282" s="3"/>
      <c r="O282" s="3"/>
      <c r="Q282" s="3"/>
      <c r="S282" s="3"/>
      <c r="U282" s="3"/>
      <c r="V282" s="3"/>
      <c r="W282" s="3"/>
      <c r="X282" s="3"/>
      <c r="Y282" s="3"/>
    </row>
    <row r="283" spans="3:25" x14ac:dyDescent="0.2">
      <c r="C283" s="3"/>
      <c r="E283" s="3"/>
      <c r="G283" s="3"/>
      <c r="I283" s="3"/>
      <c r="K283" s="3"/>
      <c r="M283" s="3"/>
      <c r="O283" s="3"/>
      <c r="Q283" s="3"/>
      <c r="S283" s="3"/>
      <c r="U283" s="3"/>
      <c r="V283" s="3"/>
      <c r="W283" s="3"/>
      <c r="X283" s="3"/>
      <c r="Y283" s="3"/>
    </row>
    <row r="284" spans="3:25" x14ac:dyDescent="0.2">
      <c r="C284" s="3"/>
      <c r="E284" s="3"/>
      <c r="G284" s="3"/>
      <c r="I284" s="3"/>
      <c r="K284" s="3"/>
      <c r="M284" s="3"/>
      <c r="O284" s="3"/>
      <c r="Q284" s="3"/>
      <c r="S284" s="3"/>
      <c r="U284" s="3"/>
      <c r="V284" s="3"/>
      <c r="W284" s="3"/>
      <c r="X284" s="3"/>
      <c r="Y284" s="3"/>
    </row>
    <row r="285" spans="3:25" x14ac:dyDescent="0.2">
      <c r="C285" s="3"/>
      <c r="E285" s="3"/>
      <c r="G285" s="3"/>
      <c r="I285" s="3"/>
      <c r="K285" s="3"/>
      <c r="M285" s="3"/>
      <c r="O285" s="3"/>
      <c r="Q285" s="3"/>
      <c r="S285" s="3"/>
      <c r="U285" s="3"/>
      <c r="V285" s="3"/>
      <c r="W285" s="3"/>
      <c r="X285" s="3"/>
      <c r="Y285" s="3"/>
    </row>
    <row r="286" spans="3:25" x14ac:dyDescent="0.2">
      <c r="C286" s="3"/>
      <c r="E286" s="3"/>
      <c r="G286" s="3"/>
      <c r="I286" s="3"/>
      <c r="K286" s="3"/>
      <c r="M286" s="3"/>
      <c r="O286" s="3"/>
      <c r="Q286" s="3"/>
      <c r="S286" s="3"/>
      <c r="U286" s="3"/>
      <c r="V286" s="3"/>
      <c r="W286" s="3"/>
      <c r="X286" s="3"/>
      <c r="Y286" s="3"/>
    </row>
    <row r="287" spans="3:25" x14ac:dyDescent="0.2">
      <c r="C287" s="3"/>
      <c r="E287" s="3"/>
      <c r="G287" s="3"/>
      <c r="I287" s="3"/>
      <c r="K287" s="3"/>
      <c r="M287" s="3"/>
      <c r="O287" s="3"/>
      <c r="Q287" s="3"/>
      <c r="S287" s="3"/>
      <c r="U287" s="3"/>
      <c r="V287" s="3"/>
      <c r="W287" s="3"/>
      <c r="X287" s="3"/>
      <c r="Y287" s="3"/>
    </row>
    <row r="288" spans="3:25" x14ac:dyDescent="0.2">
      <c r="C288" s="3"/>
      <c r="E288" s="3"/>
      <c r="G288" s="3"/>
      <c r="I288" s="3"/>
      <c r="K288" s="3"/>
      <c r="M288" s="3"/>
      <c r="O288" s="3"/>
      <c r="Q288" s="3"/>
      <c r="S288" s="3"/>
      <c r="U288" s="3"/>
      <c r="V288" s="3"/>
      <c r="W288" s="3"/>
      <c r="X288" s="3"/>
      <c r="Y288" s="3"/>
    </row>
    <row r="289" spans="3:25" x14ac:dyDescent="0.2">
      <c r="C289" s="3"/>
      <c r="E289" s="3"/>
      <c r="G289" s="3"/>
      <c r="I289" s="3"/>
      <c r="K289" s="3"/>
      <c r="M289" s="3"/>
      <c r="O289" s="3"/>
      <c r="Q289" s="3"/>
      <c r="S289" s="3"/>
      <c r="U289" s="3"/>
      <c r="V289" s="3"/>
      <c r="W289" s="3"/>
      <c r="X289" s="3"/>
      <c r="Y289" s="3"/>
    </row>
    <row r="290" spans="3:25" x14ac:dyDescent="0.2">
      <c r="C290" s="3"/>
      <c r="E290" s="3"/>
      <c r="G290" s="3"/>
      <c r="I290" s="3"/>
      <c r="K290" s="3"/>
      <c r="M290" s="3"/>
      <c r="O290" s="3"/>
      <c r="Q290" s="3"/>
      <c r="S290" s="3"/>
      <c r="U290" s="3"/>
      <c r="V290" s="3"/>
      <c r="W290" s="3"/>
      <c r="X290" s="3"/>
      <c r="Y290" s="3"/>
    </row>
    <row r="291" spans="3:25" x14ac:dyDescent="0.2">
      <c r="C291" s="3"/>
      <c r="E291" s="3"/>
      <c r="G291" s="3"/>
      <c r="I291" s="3"/>
      <c r="K291" s="3"/>
      <c r="M291" s="3"/>
      <c r="O291" s="3"/>
      <c r="Q291" s="3"/>
      <c r="S291" s="3"/>
      <c r="U291" s="3"/>
      <c r="V291" s="3"/>
      <c r="W291" s="3"/>
      <c r="X291" s="3"/>
      <c r="Y291" s="3"/>
    </row>
    <row r="292" spans="3:25" x14ac:dyDescent="0.2">
      <c r="C292" s="3"/>
      <c r="E292" s="3"/>
      <c r="G292" s="3"/>
      <c r="I292" s="3"/>
      <c r="K292" s="3"/>
      <c r="M292" s="3"/>
      <c r="O292" s="3"/>
      <c r="Q292" s="3"/>
      <c r="S292" s="3"/>
      <c r="U292" s="3"/>
      <c r="V292" s="3"/>
      <c r="W292" s="3"/>
      <c r="X292" s="3"/>
      <c r="Y292" s="3"/>
    </row>
    <row r="293" spans="3:25" x14ac:dyDescent="0.2">
      <c r="C293" s="3"/>
      <c r="E293" s="3"/>
      <c r="G293" s="3"/>
      <c r="I293" s="3"/>
      <c r="K293" s="3"/>
      <c r="M293" s="3"/>
      <c r="O293" s="3"/>
      <c r="Q293" s="3"/>
      <c r="S293" s="3"/>
      <c r="U293" s="3"/>
      <c r="V293" s="3"/>
      <c r="W293" s="3"/>
      <c r="X293" s="3"/>
      <c r="Y293" s="3"/>
    </row>
    <row r="294" spans="3:25" x14ac:dyDescent="0.2">
      <c r="C294" s="3"/>
      <c r="E294" s="3"/>
      <c r="G294" s="3"/>
      <c r="I294" s="3"/>
      <c r="K294" s="3"/>
      <c r="M294" s="3"/>
      <c r="O294" s="3"/>
      <c r="Q294" s="3"/>
      <c r="S294" s="3"/>
      <c r="U294" s="3"/>
      <c r="V294" s="3"/>
      <c r="W294" s="3"/>
      <c r="X294" s="3"/>
      <c r="Y294" s="3"/>
    </row>
    <row r="295" spans="3:25" x14ac:dyDescent="0.2">
      <c r="C295" s="3"/>
      <c r="E295" s="3"/>
      <c r="G295" s="3"/>
      <c r="I295" s="3"/>
      <c r="K295" s="3"/>
      <c r="M295" s="3"/>
      <c r="O295" s="3"/>
      <c r="Q295" s="3"/>
      <c r="S295" s="3"/>
      <c r="U295" s="3"/>
      <c r="V295" s="3"/>
      <c r="W295" s="3"/>
      <c r="X295" s="3"/>
      <c r="Y295" s="3"/>
    </row>
    <row r="296" spans="3:25" x14ac:dyDescent="0.2">
      <c r="C296" s="3"/>
      <c r="E296" s="3"/>
      <c r="G296" s="3"/>
      <c r="I296" s="3"/>
      <c r="K296" s="3"/>
      <c r="M296" s="3"/>
      <c r="O296" s="3"/>
      <c r="Q296" s="3"/>
      <c r="S296" s="3"/>
      <c r="U296" s="3"/>
      <c r="V296" s="3"/>
      <c r="W296" s="3"/>
      <c r="X296" s="3"/>
      <c r="Y296" s="3"/>
    </row>
    <row r="297" spans="3:25" x14ac:dyDescent="0.2">
      <c r="C297" s="3"/>
      <c r="E297" s="3"/>
      <c r="G297" s="3"/>
      <c r="I297" s="3"/>
      <c r="K297" s="3"/>
      <c r="M297" s="3"/>
      <c r="O297" s="3"/>
      <c r="Q297" s="3"/>
      <c r="S297" s="3"/>
      <c r="U297" s="3"/>
      <c r="V297" s="3"/>
      <c r="W297" s="3"/>
      <c r="X297" s="3"/>
      <c r="Y297" s="3"/>
    </row>
    <row r="298" spans="3:25" x14ac:dyDescent="0.2">
      <c r="C298" s="3"/>
      <c r="E298" s="3"/>
      <c r="G298" s="3"/>
      <c r="I298" s="3"/>
      <c r="K298" s="3"/>
      <c r="M298" s="3"/>
      <c r="O298" s="3"/>
      <c r="Q298" s="3"/>
      <c r="S298" s="3"/>
      <c r="U298" s="3"/>
      <c r="V298" s="3"/>
      <c r="W298" s="3"/>
      <c r="X298" s="3"/>
      <c r="Y298" s="3"/>
    </row>
    <row r="299" spans="3:25" x14ac:dyDescent="0.2">
      <c r="C299" s="3"/>
      <c r="E299" s="3"/>
      <c r="G299" s="3"/>
      <c r="I299" s="3"/>
      <c r="K299" s="3"/>
      <c r="M299" s="3"/>
      <c r="O299" s="3"/>
      <c r="Q299" s="3"/>
      <c r="S299" s="3"/>
      <c r="U299" s="3"/>
      <c r="V299" s="3"/>
      <c r="W299" s="3"/>
      <c r="X299" s="3"/>
      <c r="Y299" s="3"/>
    </row>
    <row r="300" spans="3:25" x14ac:dyDescent="0.2">
      <c r="C300" s="3"/>
      <c r="E300" s="3"/>
      <c r="G300" s="3"/>
      <c r="I300" s="3"/>
      <c r="K300" s="3"/>
      <c r="M300" s="3"/>
      <c r="O300" s="3"/>
      <c r="Q300" s="3"/>
      <c r="S300" s="3"/>
      <c r="U300" s="3"/>
      <c r="V300" s="3"/>
      <c r="W300" s="3"/>
      <c r="X300" s="3"/>
      <c r="Y300" s="3"/>
    </row>
    <row r="301" spans="3:25" x14ac:dyDescent="0.2">
      <c r="C301" s="3"/>
      <c r="E301" s="3"/>
      <c r="G301" s="3"/>
      <c r="I301" s="3"/>
      <c r="K301" s="3"/>
      <c r="M301" s="3"/>
      <c r="O301" s="3"/>
      <c r="Q301" s="3"/>
      <c r="S301" s="3"/>
      <c r="U301" s="3"/>
      <c r="V301" s="3"/>
      <c r="W301" s="3"/>
      <c r="X301" s="3"/>
      <c r="Y301" s="3"/>
    </row>
    <row r="302" spans="3:25" x14ac:dyDescent="0.2">
      <c r="C302" s="3"/>
      <c r="E302" s="3"/>
      <c r="G302" s="3"/>
      <c r="I302" s="3"/>
      <c r="K302" s="3"/>
      <c r="M302" s="3"/>
      <c r="O302" s="3"/>
      <c r="Q302" s="3"/>
      <c r="S302" s="3"/>
      <c r="U302" s="3"/>
      <c r="V302" s="3"/>
      <c r="W302" s="3"/>
      <c r="X302" s="3"/>
      <c r="Y302" s="3"/>
    </row>
    <row r="303" spans="3:25" x14ac:dyDescent="0.2">
      <c r="C303" s="3"/>
      <c r="E303" s="3"/>
      <c r="G303" s="3"/>
      <c r="I303" s="3"/>
      <c r="K303" s="3"/>
      <c r="M303" s="3"/>
      <c r="O303" s="3"/>
      <c r="Q303" s="3"/>
      <c r="S303" s="3"/>
      <c r="U303" s="3"/>
      <c r="V303" s="3"/>
      <c r="W303" s="3"/>
      <c r="X303" s="3"/>
      <c r="Y303" s="3"/>
    </row>
    <row r="304" spans="3:25" x14ac:dyDescent="0.2">
      <c r="C304" s="3"/>
      <c r="E304" s="3"/>
      <c r="G304" s="3"/>
      <c r="I304" s="3"/>
      <c r="K304" s="3"/>
      <c r="M304" s="3"/>
      <c r="O304" s="3"/>
      <c r="Q304" s="3"/>
      <c r="S304" s="3"/>
      <c r="U304" s="3"/>
      <c r="V304" s="3"/>
      <c r="W304" s="3"/>
      <c r="X304" s="3"/>
      <c r="Y304" s="3"/>
    </row>
    <row r="305" spans="3:25" x14ac:dyDescent="0.2">
      <c r="C305" s="3"/>
      <c r="E305" s="3"/>
      <c r="G305" s="3"/>
      <c r="I305" s="3"/>
      <c r="K305" s="3"/>
      <c r="M305" s="3"/>
      <c r="O305" s="3"/>
      <c r="Q305" s="3"/>
      <c r="S305" s="3"/>
      <c r="U305" s="3"/>
      <c r="V305" s="3"/>
      <c r="W305" s="3"/>
      <c r="X305" s="3"/>
      <c r="Y305" s="3"/>
    </row>
    <row r="306" spans="3:25" x14ac:dyDescent="0.2">
      <c r="C306" s="3"/>
      <c r="E306" s="3"/>
      <c r="G306" s="3"/>
      <c r="I306" s="3"/>
      <c r="K306" s="3"/>
      <c r="M306" s="3"/>
      <c r="O306" s="3"/>
      <c r="Q306" s="3"/>
      <c r="S306" s="3"/>
      <c r="U306" s="3"/>
      <c r="V306" s="3"/>
      <c r="W306" s="3"/>
      <c r="X306" s="3"/>
      <c r="Y306" s="3"/>
    </row>
    <row r="307" spans="3:25" x14ac:dyDescent="0.2">
      <c r="C307" s="3"/>
      <c r="E307" s="3"/>
      <c r="G307" s="3"/>
      <c r="I307" s="3"/>
      <c r="K307" s="3"/>
      <c r="M307" s="3"/>
      <c r="O307" s="3"/>
      <c r="Q307" s="3"/>
      <c r="S307" s="3"/>
      <c r="U307" s="3"/>
      <c r="V307" s="3"/>
      <c r="W307" s="3"/>
      <c r="X307" s="3"/>
      <c r="Y307" s="3"/>
    </row>
    <row r="308" spans="3:25" x14ac:dyDescent="0.2">
      <c r="C308" s="3"/>
      <c r="E308" s="3"/>
      <c r="G308" s="3"/>
      <c r="I308" s="3"/>
      <c r="K308" s="3"/>
      <c r="M308" s="3"/>
      <c r="O308" s="3"/>
      <c r="Q308" s="3"/>
      <c r="S308" s="3"/>
      <c r="U308" s="3"/>
      <c r="V308" s="3"/>
      <c r="W308" s="3"/>
      <c r="X308" s="3"/>
      <c r="Y308" s="3"/>
    </row>
    <row r="309" spans="3:25" x14ac:dyDescent="0.2">
      <c r="C309" s="3"/>
      <c r="E309" s="3"/>
      <c r="G309" s="3"/>
      <c r="I309" s="3"/>
      <c r="K309" s="3"/>
      <c r="M309" s="3"/>
      <c r="O309" s="3"/>
      <c r="Q309" s="3"/>
      <c r="S309" s="3"/>
      <c r="U309" s="3"/>
      <c r="V309" s="3"/>
      <c r="W309" s="3"/>
      <c r="X309" s="3"/>
      <c r="Y309" s="3"/>
    </row>
    <row r="310" spans="3:25" x14ac:dyDescent="0.2">
      <c r="C310" s="3"/>
      <c r="E310" s="3"/>
      <c r="G310" s="3"/>
      <c r="I310" s="3"/>
      <c r="K310" s="3"/>
      <c r="M310" s="3"/>
      <c r="O310" s="3"/>
      <c r="Q310" s="3"/>
      <c r="S310" s="3"/>
      <c r="U310" s="3"/>
      <c r="V310" s="3"/>
      <c r="W310" s="3"/>
      <c r="X310" s="3"/>
      <c r="Y310" s="3"/>
    </row>
    <row r="311" spans="3:25" x14ac:dyDescent="0.2">
      <c r="C311" s="3"/>
      <c r="E311" s="3"/>
      <c r="G311" s="3"/>
      <c r="I311" s="3"/>
      <c r="K311" s="3"/>
      <c r="M311" s="3"/>
      <c r="O311" s="3"/>
      <c r="Q311" s="3"/>
      <c r="S311" s="3"/>
      <c r="U311" s="3"/>
      <c r="V311" s="3"/>
      <c r="W311" s="3"/>
      <c r="X311" s="3"/>
      <c r="Y311" s="3"/>
    </row>
    <row r="312" spans="3:25" x14ac:dyDescent="0.2">
      <c r="C312" s="3"/>
      <c r="E312" s="3"/>
      <c r="G312" s="3"/>
      <c r="I312" s="3"/>
      <c r="K312" s="3"/>
      <c r="M312" s="3"/>
      <c r="O312" s="3"/>
      <c r="Q312" s="3"/>
      <c r="S312" s="3"/>
      <c r="U312" s="3"/>
      <c r="V312" s="3"/>
      <c r="W312" s="3"/>
      <c r="X312" s="3"/>
      <c r="Y312" s="3"/>
    </row>
    <row r="313" spans="3:25" x14ac:dyDescent="0.2">
      <c r="C313" s="3"/>
      <c r="E313" s="3"/>
      <c r="G313" s="3"/>
      <c r="I313" s="3"/>
      <c r="K313" s="3"/>
      <c r="M313" s="3"/>
      <c r="O313" s="3"/>
      <c r="Q313" s="3"/>
      <c r="S313" s="3"/>
      <c r="U313" s="3"/>
      <c r="V313" s="3"/>
      <c r="W313" s="3"/>
      <c r="X313" s="3"/>
      <c r="Y313" s="3"/>
    </row>
    <row r="314" spans="3:25" x14ac:dyDescent="0.2">
      <c r="C314" s="3"/>
      <c r="E314" s="3"/>
      <c r="G314" s="3"/>
      <c r="I314" s="3"/>
      <c r="K314" s="3"/>
      <c r="M314" s="3"/>
      <c r="O314" s="3"/>
      <c r="Q314" s="3"/>
      <c r="S314" s="3"/>
      <c r="U314" s="3"/>
      <c r="V314" s="3"/>
      <c r="W314" s="3"/>
      <c r="X314" s="3"/>
      <c r="Y314" s="3"/>
    </row>
    <row r="315" spans="3:25" x14ac:dyDescent="0.2">
      <c r="C315" s="3"/>
      <c r="E315" s="3"/>
      <c r="G315" s="3"/>
      <c r="I315" s="3"/>
      <c r="K315" s="3"/>
      <c r="M315" s="3"/>
      <c r="O315" s="3"/>
      <c r="Q315" s="3"/>
      <c r="S315" s="3"/>
      <c r="U315" s="3"/>
      <c r="V315" s="3"/>
      <c r="W315" s="3"/>
      <c r="X315" s="3"/>
      <c r="Y315" s="3"/>
    </row>
    <row r="316" spans="3:25" x14ac:dyDescent="0.2">
      <c r="C316" s="3"/>
      <c r="E316" s="3"/>
      <c r="G316" s="3"/>
      <c r="I316" s="3"/>
      <c r="K316" s="3"/>
      <c r="M316" s="3"/>
      <c r="O316" s="3"/>
      <c r="Q316" s="3"/>
      <c r="S316" s="3"/>
      <c r="U316" s="3"/>
      <c r="V316" s="3"/>
      <c r="W316" s="3"/>
      <c r="X316" s="3"/>
      <c r="Y316" s="3"/>
    </row>
    <row r="317" spans="3:25" x14ac:dyDescent="0.2">
      <c r="C317" s="3"/>
      <c r="E317" s="3"/>
      <c r="G317" s="3"/>
      <c r="I317" s="3"/>
      <c r="K317" s="3"/>
      <c r="M317" s="3"/>
      <c r="O317" s="3"/>
      <c r="Q317" s="3"/>
      <c r="S317" s="3"/>
      <c r="U317" s="3"/>
      <c r="V317" s="3"/>
      <c r="W317" s="3"/>
      <c r="X317" s="3"/>
      <c r="Y317" s="3"/>
    </row>
    <row r="318" spans="3:25" x14ac:dyDescent="0.2">
      <c r="C318" s="3"/>
      <c r="E318" s="3"/>
      <c r="G318" s="3"/>
      <c r="I318" s="3"/>
      <c r="K318" s="3"/>
      <c r="M318" s="3"/>
      <c r="O318" s="3"/>
      <c r="Q318" s="3"/>
      <c r="S318" s="3"/>
      <c r="U318" s="3"/>
      <c r="V318" s="3"/>
      <c r="W318" s="3"/>
      <c r="X318" s="3"/>
      <c r="Y318" s="3"/>
    </row>
    <row r="319" spans="3:25" x14ac:dyDescent="0.2">
      <c r="C319" s="3"/>
      <c r="E319" s="3"/>
      <c r="G319" s="3"/>
      <c r="I319" s="3"/>
      <c r="K319" s="3"/>
      <c r="M319" s="3"/>
      <c r="O319" s="3"/>
      <c r="Q319" s="3"/>
      <c r="S319" s="3"/>
      <c r="U319" s="3"/>
      <c r="V319" s="3"/>
      <c r="W319" s="3"/>
      <c r="X319" s="3"/>
      <c r="Y319" s="3"/>
    </row>
    <row r="320" spans="3:25" x14ac:dyDescent="0.2">
      <c r="C320" s="3"/>
      <c r="E320" s="3"/>
      <c r="G320" s="3"/>
      <c r="I320" s="3"/>
      <c r="K320" s="3"/>
      <c r="M320" s="3"/>
      <c r="O320" s="3"/>
      <c r="Q320" s="3"/>
      <c r="S320" s="3"/>
      <c r="U320" s="3"/>
      <c r="V320" s="3"/>
      <c r="W320" s="3"/>
      <c r="X320" s="3"/>
      <c r="Y320" s="3"/>
    </row>
    <row r="321" spans="3:25" x14ac:dyDescent="0.2">
      <c r="C321" s="3"/>
      <c r="E321" s="3"/>
      <c r="G321" s="3"/>
      <c r="I321" s="3"/>
      <c r="K321" s="3"/>
      <c r="M321" s="3"/>
      <c r="O321" s="3"/>
      <c r="Q321" s="3"/>
      <c r="S321" s="3"/>
      <c r="U321" s="3"/>
      <c r="V321" s="3"/>
      <c r="W321" s="3"/>
      <c r="X321" s="3"/>
      <c r="Y321" s="3"/>
    </row>
    <row r="322" spans="3:25" x14ac:dyDescent="0.2">
      <c r="C322" s="3"/>
      <c r="E322" s="3"/>
      <c r="G322" s="3"/>
      <c r="I322" s="3"/>
      <c r="K322" s="3"/>
      <c r="M322" s="3"/>
      <c r="O322" s="3"/>
      <c r="Q322" s="3"/>
      <c r="S322" s="3"/>
      <c r="U322" s="3"/>
      <c r="V322" s="3"/>
      <c r="W322" s="3"/>
      <c r="X322" s="3"/>
      <c r="Y322" s="3"/>
    </row>
    <row r="323" spans="3:25" x14ac:dyDescent="0.2">
      <c r="C323" s="3"/>
      <c r="E323" s="3"/>
      <c r="G323" s="3"/>
      <c r="I323" s="3"/>
      <c r="K323" s="3"/>
      <c r="M323" s="3"/>
      <c r="O323" s="3"/>
      <c r="Q323" s="3"/>
      <c r="S323" s="3"/>
      <c r="U323" s="3"/>
      <c r="V323" s="3"/>
      <c r="W323" s="3"/>
      <c r="X323" s="3"/>
      <c r="Y323" s="3"/>
    </row>
    <row r="324" spans="3:25" x14ac:dyDescent="0.2">
      <c r="C324" s="3"/>
      <c r="E324" s="3"/>
      <c r="G324" s="3"/>
      <c r="I324" s="3"/>
      <c r="K324" s="3"/>
      <c r="M324" s="3"/>
      <c r="O324" s="3"/>
      <c r="Q324" s="3"/>
      <c r="S324" s="3"/>
      <c r="U324" s="3"/>
      <c r="V324" s="3"/>
      <c r="W324" s="3"/>
      <c r="X324" s="3"/>
      <c r="Y324" s="3"/>
    </row>
    <row r="325" spans="3:25" x14ac:dyDescent="0.2">
      <c r="C325" s="3"/>
      <c r="E325" s="3"/>
      <c r="G325" s="3"/>
      <c r="I325" s="3"/>
      <c r="K325" s="3"/>
      <c r="M325" s="3"/>
      <c r="O325" s="3"/>
      <c r="Q325" s="3"/>
      <c r="S325" s="3"/>
      <c r="U325" s="3"/>
      <c r="V325" s="3"/>
      <c r="W325" s="3"/>
      <c r="X325" s="3"/>
      <c r="Y325" s="3"/>
    </row>
    <row r="326" spans="3:25" x14ac:dyDescent="0.2">
      <c r="C326" s="3"/>
      <c r="E326" s="3"/>
      <c r="G326" s="3"/>
      <c r="I326" s="3"/>
      <c r="K326" s="3"/>
      <c r="M326" s="3"/>
      <c r="O326" s="3"/>
      <c r="Q326" s="3"/>
      <c r="S326" s="3"/>
      <c r="U326" s="3"/>
      <c r="V326" s="3"/>
      <c r="W326" s="3"/>
      <c r="X326" s="3"/>
      <c r="Y326" s="3"/>
    </row>
    <row r="327" spans="3:25" x14ac:dyDescent="0.2">
      <c r="C327" s="3"/>
      <c r="E327" s="3"/>
      <c r="G327" s="3"/>
      <c r="I327" s="3"/>
      <c r="K327" s="3"/>
      <c r="M327" s="3"/>
      <c r="O327" s="3"/>
      <c r="Q327" s="3"/>
      <c r="S327" s="3"/>
      <c r="U327" s="3"/>
      <c r="V327" s="3"/>
      <c r="W327" s="3"/>
      <c r="X327" s="3"/>
      <c r="Y327" s="3"/>
    </row>
    <row r="328" spans="3:25" x14ac:dyDescent="0.2">
      <c r="C328" s="3"/>
      <c r="E328" s="3"/>
      <c r="G328" s="3"/>
      <c r="I328" s="3"/>
      <c r="K328" s="3"/>
      <c r="M328" s="3"/>
      <c r="O328" s="3"/>
      <c r="Q328" s="3"/>
      <c r="S328" s="3"/>
      <c r="U328" s="3"/>
      <c r="V328" s="3"/>
      <c r="W328" s="3"/>
      <c r="X328" s="3"/>
      <c r="Y328" s="3"/>
    </row>
    <row r="329" spans="3:25" x14ac:dyDescent="0.2">
      <c r="C329" s="3"/>
      <c r="E329" s="3"/>
      <c r="G329" s="3"/>
      <c r="I329" s="3"/>
      <c r="K329" s="3"/>
      <c r="M329" s="3"/>
      <c r="O329" s="3"/>
      <c r="Q329" s="3"/>
      <c r="S329" s="3"/>
      <c r="U329" s="3"/>
      <c r="V329" s="3"/>
      <c r="W329" s="3"/>
      <c r="X329" s="3"/>
      <c r="Y329" s="3"/>
    </row>
    <row r="330" spans="3:25" x14ac:dyDescent="0.2">
      <c r="C330" s="3"/>
      <c r="E330" s="3"/>
      <c r="G330" s="3"/>
      <c r="I330" s="3"/>
      <c r="K330" s="3"/>
      <c r="M330" s="3"/>
      <c r="O330" s="3"/>
      <c r="Q330" s="3"/>
      <c r="S330" s="3"/>
      <c r="U330" s="3"/>
      <c r="V330" s="3"/>
      <c r="W330" s="3"/>
      <c r="X330" s="3"/>
      <c r="Y330" s="3"/>
    </row>
    <row r="331" spans="3:25" x14ac:dyDescent="0.2">
      <c r="C331" s="3"/>
      <c r="E331" s="3"/>
      <c r="G331" s="3"/>
      <c r="I331" s="3"/>
      <c r="K331" s="3"/>
      <c r="M331" s="3"/>
      <c r="O331" s="3"/>
      <c r="Q331" s="3"/>
      <c r="S331" s="3"/>
      <c r="U331" s="3"/>
      <c r="V331" s="3"/>
      <c r="W331" s="3"/>
      <c r="X331" s="3"/>
      <c r="Y331" s="3"/>
    </row>
    <row r="332" spans="3:25" x14ac:dyDescent="0.2">
      <c r="C332" s="3"/>
      <c r="E332" s="3"/>
      <c r="G332" s="3"/>
      <c r="I332" s="3"/>
      <c r="K332" s="3"/>
      <c r="M332" s="3"/>
      <c r="O332" s="3"/>
      <c r="Q332" s="3"/>
      <c r="S332" s="3"/>
      <c r="U332" s="3"/>
      <c r="V332" s="3"/>
      <c r="W332" s="3"/>
      <c r="X332" s="3"/>
      <c r="Y332" s="3"/>
    </row>
    <row r="333" spans="3:25" x14ac:dyDescent="0.2">
      <c r="C333" s="3"/>
      <c r="E333" s="3"/>
      <c r="G333" s="3"/>
      <c r="I333" s="3"/>
      <c r="K333" s="3"/>
      <c r="M333" s="3"/>
      <c r="O333" s="3"/>
      <c r="Q333" s="3"/>
      <c r="S333" s="3"/>
      <c r="U333" s="3"/>
      <c r="V333" s="3"/>
      <c r="W333" s="3"/>
      <c r="X333" s="3"/>
      <c r="Y333" s="3"/>
    </row>
    <row r="334" spans="3:25" x14ac:dyDescent="0.2">
      <c r="C334" s="3"/>
      <c r="E334" s="3"/>
      <c r="G334" s="3"/>
      <c r="I334" s="3"/>
      <c r="K334" s="3"/>
      <c r="M334" s="3"/>
      <c r="O334" s="3"/>
      <c r="Q334" s="3"/>
      <c r="S334" s="3"/>
      <c r="U334" s="3"/>
      <c r="V334" s="3"/>
      <c r="W334" s="3"/>
      <c r="X334" s="3"/>
      <c r="Y334" s="3"/>
    </row>
    <row r="335" spans="3:25" x14ac:dyDescent="0.2">
      <c r="C335" s="3"/>
      <c r="E335" s="3"/>
      <c r="G335" s="3"/>
      <c r="I335" s="3"/>
      <c r="K335" s="3"/>
      <c r="M335" s="3"/>
      <c r="O335" s="3"/>
      <c r="Q335" s="3"/>
      <c r="S335" s="3"/>
      <c r="U335" s="3"/>
      <c r="V335" s="3"/>
      <c r="W335" s="3"/>
      <c r="X335" s="3"/>
      <c r="Y335" s="3"/>
    </row>
    <row r="336" spans="3:25" x14ac:dyDescent="0.2">
      <c r="C336" s="3"/>
      <c r="E336" s="3"/>
      <c r="G336" s="3"/>
      <c r="I336" s="3"/>
      <c r="K336" s="3"/>
      <c r="M336" s="3"/>
      <c r="O336" s="3"/>
      <c r="Q336" s="3"/>
      <c r="S336" s="3"/>
      <c r="U336" s="3"/>
      <c r="V336" s="3"/>
      <c r="W336" s="3"/>
      <c r="X336" s="3"/>
      <c r="Y336" s="3"/>
    </row>
    <row r="337" spans="3:25" x14ac:dyDescent="0.2">
      <c r="C337" s="3"/>
      <c r="E337" s="3"/>
      <c r="G337" s="3"/>
      <c r="I337" s="3"/>
      <c r="K337" s="3"/>
      <c r="M337" s="3"/>
      <c r="O337" s="3"/>
      <c r="Q337" s="3"/>
      <c r="S337" s="3"/>
      <c r="U337" s="3"/>
      <c r="V337" s="3"/>
      <c r="W337" s="3"/>
      <c r="X337" s="3"/>
      <c r="Y337" s="3"/>
    </row>
    <row r="338" spans="3:25" x14ac:dyDescent="0.2">
      <c r="C338" s="3"/>
      <c r="E338" s="3"/>
      <c r="G338" s="3"/>
      <c r="I338" s="3"/>
      <c r="K338" s="3"/>
      <c r="M338" s="3"/>
      <c r="O338" s="3"/>
      <c r="Q338" s="3"/>
      <c r="S338" s="3"/>
      <c r="U338" s="3"/>
      <c r="V338" s="3"/>
      <c r="W338" s="3"/>
      <c r="X338" s="3"/>
      <c r="Y338" s="3"/>
    </row>
    <row r="339" spans="3:25" x14ac:dyDescent="0.2">
      <c r="C339" s="3"/>
      <c r="E339" s="3"/>
      <c r="G339" s="3"/>
      <c r="I339" s="3"/>
      <c r="K339" s="3"/>
      <c r="M339" s="3"/>
      <c r="O339" s="3"/>
      <c r="Q339" s="3"/>
      <c r="S339" s="3"/>
      <c r="U339" s="3"/>
      <c r="V339" s="3"/>
      <c r="W339" s="3"/>
      <c r="X339" s="3"/>
      <c r="Y339" s="3"/>
    </row>
    <row r="340" spans="3:25" x14ac:dyDescent="0.2">
      <c r="C340" s="3"/>
      <c r="E340" s="3"/>
      <c r="G340" s="3"/>
      <c r="I340" s="3"/>
      <c r="K340" s="3"/>
      <c r="M340" s="3"/>
      <c r="O340" s="3"/>
      <c r="Q340" s="3"/>
      <c r="S340" s="3"/>
      <c r="U340" s="3"/>
      <c r="V340" s="3"/>
      <c r="W340" s="3"/>
      <c r="X340" s="3"/>
      <c r="Y340" s="3"/>
    </row>
    <row r="341" spans="3:25" x14ac:dyDescent="0.2">
      <c r="C341" s="3"/>
      <c r="E341" s="3"/>
      <c r="G341" s="3"/>
      <c r="I341" s="3"/>
      <c r="K341" s="3"/>
      <c r="M341" s="3"/>
      <c r="O341" s="3"/>
      <c r="Q341" s="3"/>
      <c r="S341" s="3"/>
      <c r="U341" s="3"/>
      <c r="V341" s="3"/>
      <c r="W341" s="3"/>
      <c r="X341" s="3"/>
      <c r="Y341" s="3"/>
    </row>
    <row r="342" spans="3:25" x14ac:dyDescent="0.2">
      <c r="C342" s="3"/>
      <c r="E342" s="3"/>
      <c r="G342" s="3"/>
      <c r="I342" s="3"/>
      <c r="K342" s="3"/>
      <c r="M342" s="3"/>
      <c r="O342" s="3"/>
      <c r="Q342" s="3"/>
      <c r="S342" s="3"/>
      <c r="U342" s="3"/>
      <c r="V342" s="3"/>
      <c r="W342" s="3"/>
      <c r="X342" s="3"/>
      <c r="Y342" s="3"/>
    </row>
    <row r="343" spans="3:25" x14ac:dyDescent="0.2">
      <c r="C343" s="3"/>
      <c r="E343" s="3"/>
      <c r="G343" s="3"/>
      <c r="I343" s="3"/>
      <c r="K343" s="3"/>
      <c r="M343" s="3"/>
      <c r="O343" s="3"/>
      <c r="Q343" s="3"/>
      <c r="S343" s="3"/>
      <c r="U343" s="3"/>
      <c r="V343" s="3"/>
      <c r="W343" s="3"/>
      <c r="X343" s="3"/>
      <c r="Y343" s="3"/>
    </row>
    <row r="344" spans="3:25" x14ac:dyDescent="0.2">
      <c r="C344" s="3"/>
      <c r="E344" s="3"/>
      <c r="G344" s="3"/>
      <c r="I344" s="3"/>
      <c r="K344" s="3"/>
      <c r="M344" s="3"/>
      <c r="O344" s="3"/>
      <c r="Q344" s="3"/>
      <c r="S344" s="3"/>
      <c r="U344" s="3"/>
      <c r="V344" s="3"/>
      <c r="W344" s="3"/>
      <c r="X344" s="3"/>
      <c r="Y344" s="3"/>
    </row>
    <row r="345" spans="3:25" x14ac:dyDescent="0.2">
      <c r="C345" s="3"/>
      <c r="E345" s="3"/>
      <c r="G345" s="3"/>
      <c r="I345" s="3"/>
      <c r="K345" s="3"/>
      <c r="M345" s="3"/>
      <c r="O345" s="3"/>
      <c r="Q345" s="3"/>
      <c r="S345" s="3"/>
      <c r="U345" s="3"/>
      <c r="V345" s="3"/>
      <c r="W345" s="3"/>
      <c r="X345" s="3"/>
      <c r="Y345" s="3"/>
    </row>
    <row r="346" spans="3:25" x14ac:dyDescent="0.2">
      <c r="C346" s="3"/>
      <c r="E346" s="3"/>
      <c r="G346" s="3"/>
      <c r="I346" s="3"/>
      <c r="K346" s="3"/>
      <c r="M346" s="3"/>
      <c r="O346" s="3"/>
      <c r="Q346" s="3"/>
      <c r="S346" s="3"/>
      <c r="U346" s="3"/>
      <c r="V346" s="3"/>
      <c r="W346" s="3"/>
      <c r="X346" s="3"/>
      <c r="Y346" s="3"/>
    </row>
    <row r="347" spans="3:25" x14ac:dyDescent="0.2">
      <c r="C347" s="3"/>
      <c r="E347" s="3"/>
      <c r="G347" s="3"/>
      <c r="I347" s="3"/>
      <c r="K347" s="3"/>
      <c r="M347" s="3"/>
      <c r="O347" s="3"/>
      <c r="Q347" s="3"/>
      <c r="S347" s="3"/>
      <c r="U347" s="3"/>
      <c r="V347" s="3"/>
      <c r="W347" s="3"/>
      <c r="X347" s="3"/>
      <c r="Y347" s="3"/>
    </row>
    <row r="348" spans="3:25" x14ac:dyDescent="0.2">
      <c r="C348" s="3"/>
      <c r="E348" s="3"/>
      <c r="G348" s="3"/>
      <c r="I348" s="3"/>
      <c r="K348" s="3"/>
      <c r="M348" s="3"/>
      <c r="O348" s="3"/>
      <c r="Q348" s="3"/>
      <c r="S348" s="3"/>
      <c r="U348" s="3"/>
      <c r="V348" s="3"/>
      <c r="W348" s="3"/>
      <c r="X348" s="3"/>
      <c r="Y348" s="3"/>
    </row>
    <row r="349" spans="3:25" x14ac:dyDescent="0.2">
      <c r="C349" s="3"/>
      <c r="E349" s="3"/>
      <c r="G349" s="3"/>
      <c r="I349" s="3"/>
      <c r="K349" s="3"/>
      <c r="M349" s="3"/>
      <c r="O349" s="3"/>
      <c r="Q349" s="3"/>
      <c r="S349" s="3"/>
      <c r="U349" s="3"/>
      <c r="V349" s="3"/>
      <c r="W349" s="3"/>
      <c r="X349" s="3"/>
      <c r="Y349" s="3"/>
    </row>
    <row r="350" spans="3:25" x14ac:dyDescent="0.2">
      <c r="C350" s="3"/>
      <c r="E350" s="3"/>
      <c r="G350" s="3"/>
      <c r="I350" s="3"/>
      <c r="K350" s="3"/>
      <c r="M350" s="3"/>
      <c r="O350" s="3"/>
      <c r="Q350" s="3"/>
      <c r="S350" s="3"/>
      <c r="U350" s="3"/>
      <c r="V350" s="3"/>
      <c r="W350" s="3"/>
      <c r="X350" s="3"/>
      <c r="Y350" s="3"/>
    </row>
    <row r="351" spans="3:25" x14ac:dyDescent="0.2">
      <c r="C351" s="3"/>
      <c r="E351" s="3"/>
      <c r="G351" s="3"/>
      <c r="I351" s="3"/>
      <c r="K351" s="3"/>
      <c r="M351" s="3"/>
      <c r="O351" s="3"/>
      <c r="Q351" s="3"/>
      <c r="S351" s="3"/>
      <c r="U351" s="3"/>
      <c r="V351" s="3"/>
      <c r="W351" s="3"/>
      <c r="X351" s="3"/>
      <c r="Y351" s="3"/>
    </row>
    <row r="352" spans="3:25" x14ac:dyDescent="0.2">
      <c r="C352" s="3"/>
      <c r="E352" s="3"/>
      <c r="G352" s="3"/>
      <c r="I352" s="3"/>
      <c r="K352" s="3"/>
      <c r="M352" s="3"/>
      <c r="O352" s="3"/>
      <c r="Q352" s="3"/>
      <c r="S352" s="3"/>
      <c r="U352" s="3"/>
      <c r="V352" s="3"/>
      <c r="W352" s="3"/>
      <c r="X352" s="3"/>
      <c r="Y352" s="3"/>
    </row>
    <row r="353" spans="3:25" x14ac:dyDescent="0.2">
      <c r="C353" s="3"/>
      <c r="E353" s="3"/>
      <c r="G353" s="3"/>
      <c r="I353" s="3"/>
      <c r="K353" s="3"/>
      <c r="M353" s="3"/>
      <c r="O353" s="3"/>
      <c r="Q353" s="3"/>
      <c r="S353" s="3"/>
      <c r="U353" s="3"/>
      <c r="V353" s="3"/>
      <c r="W353" s="3"/>
      <c r="X353" s="3"/>
      <c r="Y353" s="3"/>
    </row>
    <row r="354" spans="3:25" x14ac:dyDescent="0.2">
      <c r="C354" s="3"/>
      <c r="E354" s="3"/>
      <c r="G354" s="3"/>
      <c r="I354" s="3"/>
      <c r="K354" s="3"/>
      <c r="M354" s="3"/>
      <c r="O354" s="3"/>
      <c r="Q354" s="3"/>
      <c r="S354" s="3"/>
      <c r="U354" s="3"/>
      <c r="V354" s="3"/>
      <c r="W354" s="3"/>
      <c r="X354" s="3"/>
      <c r="Y354" s="3"/>
    </row>
    <row r="355" spans="3:25" x14ac:dyDescent="0.2">
      <c r="C355" s="3"/>
      <c r="E355" s="3"/>
      <c r="G355" s="3"/>
      <c r="I355" s="3"/>
      <c r="K355" s="3"/>
      <c r="M355" s="3"/>
      <c r="O355" s="3"/>
      <c r="Q355" s="3"/>
      <c r="S355" s="3"/>
      <c r="U355" s="3"/>
      <c r="V355" s="3"/>
      <c r="W355" s="3"/>
      <c r="X355" s="3"/>
      <c r="Y355" s="3"/>
    </row>
    <row r="356" spans="3:25" x14ac:dyDescent="0.2">
      <c r="C356" s="3"/>
      <c r="E356" s="3"/>
      <c r="G356" s="3"/>
      <c r="I356" s="3"/>
      <c r="K356" s="3"/>
      <c r="M356" s="3"/>
      <c r="O356" s="3"/>
      <c r="Q356" s="3"/>
      <c r="S356" s="3"/>
      <c r="U356" s="3"/>
      <c r="V356" s="3"/>
      <c r="W356" s="3"/>
      <c r="X356" s="3"/>
      <c r="Y356" s="3"/>
    </row>
    <row r="357" spans="3:25" x14ac:dyDescent="0.2">
      <c r="C357" s="3"/>
      <c r="E357" s="3"/>
      <c r="G357" s="3"/>
      <c r="I357" s="3"/>
      <c r="K357" s="3"/>
      <c r="M357" s="3"/>
      <c r="O357" s="3"/>
      <c r="Q357" s="3"/>
      <c r="S357" s="3"/>
      <c r="U357" s="3"/>
      <c r="V357" s="3"/>
      <c r="W357" s="3"/>
      <c r="X357" s="3"/>
      <c r="Y357" s="3"/>
    </row>
    <row r="358" spans="3:25" x14ac:dyDescent="0.2">
      <c r="C358" s="3"/>
      <c r="E358" s="3"/>
      <c r="G358" s="3"/>
      <c r="I358" s="3"/>
      <c r="K358" s="3"/>
      <c r="M358" s="3"/>
      <c r="O358" s="3"/>
      <c r="Q358" s="3"/>
      <c r="S358" s="3"/>
      <c r="U358" s="3"/>
      <c r="V358" s="3"/>
      <c r="W358" s="3"/>
      <c r="X358" s="3"/>
      <c r="Y358" s="3"/>
    </row>
    <row r="359" spans="3:25" x14ac:dyDescent="0.2">
      <c r="C359" s="3"/>
      <c r="E359" s="3"/>
      <c r="G359" s="3"/>
      <c r="I359" s="3"/>
      <c r="K359" s="3"/>
      <c r="M359" s="3"/>
      <c r="O359" s="3"/>
      <c r="Q359" s="3"/>
      <c r="S359" s="3"/>
      <c r="U359" s="3"/>
      <c r="V359" s="3"/>
      <c r="W359" s="3"/>
      <c r="X359" s="3"/>
      <c r="Y359" s="3"/>
    </row>
    <row r="360" spans="3:25" x14ac:dyDescent="0.2">
      <c r="C360" s="3"/>
      <c r="E360" s="3"/>
      <c r="G360" s="3"/>
      <c r="I360" s="3"/>
      <c r="K360" s="3"/>
      <c r="M360" s="3"/>
      <c r="O360" s="3"/>
      <c r="Q360" s="3"/>
      <c r="S360" s="3"/>
      <c r="U360" s="3"/>
      <c r="V360" s="3"/>
      <c r="W360" s="3"/>
      <c r="X360" s="3"/>
      <c r="Y360" s="3"/>
    </row>
    <row r="361" spans="3:25" x14ac:dyDescent="0.2">
      <c r="C361" s="3"/>
      <c r="E361" s="3"/>
      <c r="G361" s="3"/>
      <c r="I361" s="3"/>
      <c r="K361" s="3"/>
      <c r="M361" s="3"/>
      <c r="O361" s="3"/>
      <c r="Q361" s="3"/>
      <c r="S361" s="3"/>
      <c r="U361" s="3"/>
      <c r="V361" s="3"/>
      <c r="W361" s="3"/>
      <c r="X361" s="3"/>
      <c r="Y361" s="3"/>
    </row>
    <row r="362" spans="3:25" x14ac:dyDescent="0.2">
      <c r="C362" s="3"/>
      <c r="E362" s="3"/>
      <c r="G362" s="3"/>
      <c r="I362" s="3"/>
      <c r="K362" s="3"/>
      <c r="M362" s="3"/>
      <c r="O362" s="3"/>
      <c r="Q362" s="3"/>
      <c r="S362" s="3"/>
      <c r="U362" s="3"/>
      <c r="V362" s="3"/>
      <c r="W362" s="3"/>
      <c r="X362" s="3"/>
      <c r="Y362" s="3"/>
    </row>
    <row r="363" spans="3:25" x14ac:dyDescent="0.2">
      <c r="C363" s="3"/>
      <c r="E363" s="3"/>
      <c r="G363" s="3"/>
      <c r="I363" s="3"/>
      <c r="K363" s="3"/>
      <c r="M363" s="3"/>
      <c r="O363" s="3"/>
      <c r="Q363" s="3"/>
      <c r="S363" s="3"/>
      <c r="U363" s="3"/>
      <c r="V363" s="3"/>
      <c r="W363" s="3"/>
      <c r="X363" s="3"/>
      <c r="Y363" s="3"/>
    </row>
    <row r="364" spans="3:25" x14ac:dyDescent="0.2">
      <c r="C364" s="3"/>
      <c r="E364" s="3"/>
      <c r="G364" s="3"/>
      <c r="I364" s="3"/>
      <c r="K364" s="3"/>
      <c r="M364" s="3"/>
      <c r="O364" s="3"/>
      <c r="Q364" s="3"/>
      <c r="S364" s="3"/>
      <c r="U364" s="3"/>
      <c r="V364" s="3"/>
      <c r="W364" s="3"/>
      <c r="X364" s="3"/>
      <c r="Y364" s="3"/>
    </row>
    <row r="365" spans="3:25" x14ac:dyDescent="0.2">
      <c r="C365" s="3"/>
      <c r="E365" s="3"/>
      <c r="G365" s="3"/>
      <c r="I365" s="3"/>
      <c r="K365" s="3"/>
      <c r="M365" s="3"/>
      <c r="O365" s="3"/>
      <c r="Q365" s="3"/>
      <c r="S365" s="3"/>
      <c r="U365" s="3"/>
      <c r="V365" s="3"/>
      <c r="W365" s="3"/>
      <c r="X365" s="3"/>
      <c r="Y365" s="3"/>
    </row>
    <row r="366" spans="3:25" x14ac:dyDescent="0.2">
      <c r="C366" s="3"/>
      <c r="E366" s="3"/>
      <c r="G366" s="3"/>
      <c r="I366" s="3"/>
      <c r="K366" s="3"/>
      <c r="M366" s="3"/>
      <c r="O366" s="3"/>
      <c r="Q366" s="3"/>
      <c r="S366" s="3"/>
      <c r="U366" s="3"/>
      <c r="V366" s="3"/>
      <c r="W366" s="3"/>
      <c r="X366" s="3"/>
      <c r="Y366" s="3"/>
    </row>
    <row r="367" spans="3:25" x14ac:dyDescent="0.2">
      <c r="C367" s="3"/>
      <c r="E367" s="3"/>
      <c r="G367" s="3"/>
      <c r="I367" s="3"/>
      <c r="K367" s="3"/>
      <c r="M367" s="3"/>
      <c r="O367" s="3"/>
      <c r="Q367" s="3"/>
      <c r="S367" s="3"/>
      <c r="U367" s="3"/>
      <c r="V367" s="3"/>
      <c r="W367" s="3"/>
      <c r="X367" s="3"/>
      <c r="Y367" s="3"/>
    </row>
    <row r="368" spans="3:25" x14ac:dyDescent="0.2">
      <c r="C368" s="3"/>
      <c r="E368" s="3"/>
      <c r="G368" s="3"/>
      <c r="I368" s="3"/>
      <c r="K368" s="3"/>
      <c r="M368" s="3"/>
      <c r="O368" s="3"/>
      <c r="Q368" s="3"/>
      <c r="S368" s="3"/>
      <c r="U368" s="3"/>
      <c r="V368" s="3"/>
      <c r="W368" s="3"/>
      <c r="X368" s="3"/>
      <c r="Y368" s="3"/>
    </row>
    <row r="369" spans="3:25" x14ac:dyDescent="0.2">
      <c r="C369" s="3"/>
      <c r="E369" s="3"/>
      <c r="G369" s="3"/>
      <c r="I369" s="3"/>
      <c r="K369" s="3"/>
      <c r="M369" s="3"/>
      <c r="O369" s="3"/>
      <c r="Q369" s="3"/>
      <c r="S369" s="3"/>
      <c r="U369" s="3"/>
      <c r="V369" s="3"/>
      <c r="W369" s="3"/>
      <c r="X369" s="3"/>
      <c r="Y369" s="3"/>
    </row>
    <row r="370" spans="3:25" x14ac:dyDescent="0.2">
      <c r="C370" s="3"/>
      <c r="E370" s="3"/>
      <c r="G370" s="3"/>
      <c r="I370" s="3"/>
      <c r="K370" s="3"/>
      <c r="M370" s="3"/>
      <c r="O370" s="3"/>
      <c r="Q370" s="3"/>
      <c r="S370" s="3"/>
      <c r="U370" s="3"/>
      <c r="V370" s="3"/>
      <c r="W370" s="3"/>
      <c r="X370" s="3"/>
      <c r="Y370" s="3"/>
    </row>
    <row r="371" spans="3:25" x14ac:dyDescent="0.2">
      <c r="C371" s="3"/>
      <c r="E371" s="3"/>
      <c r="G371" s="3"/>
      <c r="I371" s="3"/>
      <c r="K371" s="3"/>
      <c r="M371" s="3"/>
      <c r="O371" s="3"/>
      <c r="Q371" s="3"/>
      <c r="S371" s="3"/>
      <c r="U371" s="3"/>
      <c r="V371" s="3"/>
      <c r="W371" s="3"/>
      <c r="X371" s="3"/>
      <c r="Y371" s="3"/>
    </row>
    <row r="372" spans="3:25" x14ac:dyDescent="0.2">
      <c r="C372" s="3"/>
      <c r="E372" s="3"/>
      <c r="G372" s="3"/>
      <c r="I372" s="3"/>
      <c r="K372" s="3"/>
      <c r="M372" s="3"/>
      <c r="O372" s="3"/>
      <c r="Q372" s="3"/>
      <c r="S372" s="3"/>
      <c r="U372" s="3"/>
      <c r="V372" s="3"/>
      <c r="W372" s="3"/>
      <c r="X372" s="3"/>
      <c r="Y372" s="3"/>
    </row>
    <row r="373" spans="3:25" x14ac:dyDescent="0.2">
      <c r="C373" s="3"/>
      <c r="E373" s="3"/>
      <c r="G373" s="3"/>
      <c r="I373" s="3"/>
      <c r="K373" s="3"/>
      <c r="M373" s="3"/>
      <c r="O373" s="3"/>
      <c r="Q373" s="3"/>
      <c r="S373" s="3"/>
      <c r="U373" s="3"/>
      <c r="V373" s="3"/>
      <c r="W373" s="3"/>
      <c r="X373" s="3"/>
      <c r="Y373" s="3"/>
    </row>
    <row r="374" spans="3:25" x14ac:dyDescent="0.2">
      <c r="C374" s="3"/>
      <c r="E374" s="3"/>
      <c r="G374" s="3"/>
      <c r="I374" s="3"/>
      <c r="K374" s="3"/>
      <c r="M374" s="3"/>
      <c r="O374" s="3"/>
      <c r="Q374" s="3"/>
      <c r="S374" s="3"/>
      <c r="U374" s="3"/>
      <c r="V374" s="3"/>
      <c r="W374" s="3"/>
      <c r="X374" s="3"/>
      <c r="Y374" s="3"/>
    </row>
    <row r="375" spans="3:25" x14ac:dyDescent="0.2">
      <c r="C375" s="3"/>
      <c r="E375" s="3"/>
      <c r="G375" s="3"/>
      <c r="I375" s="3"/>
      <c r="K375" s="3"/>
      <c r="M375" s="3"/>
      <c r="O375" s="3"/>
      <c r="Q375" s="3"/>
      <c r="S375" s="3"/>
      <c r="U375" s="3"/>
      <c r="V375" s="3"/>
      <c r="W375" s="3"/>
      <c r="X375" s="3"/>
      <c r="Y375" s="3"/>
    </row>
    <row r="376" spans="3:25" x14ac:dyDescent="0.2">
      <c r="C376" s="3"/>
      <c r="E376" s="3"/>
      <c r="G376" s="3"/>
      <c r="I376" s="3"/>
      <c r="K376" s="3"/>
      <c r="M376" s="3"/>
      <c r="O376" s="3"/>
      <c r="Q376" s="3"/>
      <c r="S376" s="3"/>
      <c r="U376" s="3"/>
      <c r="V376" s="3"/>
      <c r="W376" s="3"/>
      <c r="X376" s="3"/>
      <c r="Y376" s="3"/>
    </row>
    <row r="377" spans="3:25" x14ac:dyDescent="0.2">
      <c r="C377" s="3"/>
      <c r="E377" s="3"/>
      <c r="G377" s="3"/>
      <c r="I377" s="3"/>
      <c r="K377" s="3"/>
      <c r="M377" s="3"/>
      <c r="O377" s="3"/>
      <c r="Q377" s="3"/>
      <c r="S377" s="3"/>
      <c r="U377" s="3"/>
      <c r="V377" s="3"/>
      <c r="W377" s="3"/>
      <c r="X377" s="3"/>
      <c r="Y377" s="3"/>
    </row>
    <row r="378" spans="3:25" x14ac:dyDescent="0.2">
      <c r="C378" s="3"/>
      <c r="E378" s="3"/>
      <c r="G378" s="3"/>
      <c r="I378" s="3"/>
      <c r="K378" s="3"/>
      <c r="M378" s="3"/>
      <c r="O378" s="3"/>
      <c r="Q378" s="3"/>
      <c r="S378" s="3"/>
      <c r="U378" s="3"/>
      <c r="V378" s="3"/>
      <c r="W378" s="3"/>
      <c r="X378" s="3"/>
      <c r="Y378" s="3"/>
    </row>
    <row r="379" spans="3:25" x14ac:dyDescent="0.2">
      <c r="C379" s="3"/>
      <c r="E379" s="3"/>
      <c r="G379" s="3"/>
      <c r="I379" s="3"/>
      <c r="K379" s="3"/>
      <c r="M379" s="3"/>
      <c r="O379" s="3"/>
      <c r="Q379" s="3"/>
      <c r="S379" s="3"/>
      <c r="U379" s="3"/>
      <c r="V379" s="3"/>
      <c r="W379" s="3"/>
      <c r="X379" s="3"/>
      <c r="Y379" s="3"/>
    </row>
    <row r="380" spans="3:25" x14ac:dyDescent="0.2">
      <c r="C380" s="3"/>
      <c r="E380" s="3"/>
      <c r="G380" s="3"/>
      <c r="I380" s="3"/>
      <c r="K380" s="3"/>
      <c r="M380" s="3"/>
      <c r="O380" s="3"/>
      <c r="Q380" s="3"/>
      <c r="S380" s="3"/>
      <c r="U380" s="3"/>
      <c r="V380" s="3"/>
      <c r="W380" s="3"/>
      <c r="X380" s="3"/>
      <c r="Y380" s="3"/>
    </row>
    <row r="381" spans="3:25" x14ac:dyDescent="0.2">
      <c r="C381" s="3"/>
      <c r="E381" s="3"/>
      <c r="G381" s="3"/>
      <c r="I381" s="3"/>
      <c r="K381" s="3"/>
      <c r="M381" s="3"/>
      <c r="O381" s="3"/>
      <c r="Q381" s="3"/>
      <c r="S381" s="3"/>
      <c r="U381" s="3"/>
      <c r="V381" s="3"/>
      <c r="W381" s="3"/>
      <c r="X381" s="3"/>
      <c r="Y381" s="3"/>
    </row>
    <row r="382" spans="3:25" x14ac:dyDescent="0.2">
      <c r="C382" s="3"/>
      <c r="E382" s="3"/>
      <c r="G382" s="3"/>
      <c r="I382" s="3"/>
      <c r="K382" s="3"/>
      <c r="M382" s="3"/>
      <c r="O382" s="3"/>
      <c r="Q382" s="3"/>
      <c r="S382" s="3"/>
      <c r="U382" s="3"/>
      <c r="V382" s="3"/>
      <c r="W382" s="3"/>
      <c r="X382" s="3"/>
      <c r="Y382" s="3"/>
    </row>
    <row r="383" spans="3:25" x14ac:dyDescent="0.2">
      <c r="C383" s="3"/>
      <c r="E383" s="3"/>
      <c r="G383" s="3"/>
      <c r="I383" s="3"/>
      <c r="K383" s="3"/>
      <c r="M383" s="3"/>
      <c r="O383" s="3"/>
      <c r="Q383" s="3"/>
      <c r="S383" s="3"/>
      <c r="U383" s="3"/>
      <c r="V383" s="3"/>
      <c r="W383" s="3"/>
      <c r="X383" s="3"/>
      <c r="Y383" s="3"/>
    </row>
    <row r="384" spans="3:25" x14ac:dyDescent="0.2">
      <c r="C384" s="3"/>
      <c r="E384" s="3"/>
      <c r="G384" s="3"/>
      <c r="I384" s="3"/>
      <c r="K384" s="3"/>
      <c r="M384" s="3"/>
      <c r="O384" s="3"/>
      <c r="Q384" s="3"/>
      <c r="S384" s="3"/>
      <c r="U384" s="3"/>
      <c r="V384" s="3"/>
      <c r="W384" s="3"/>
      <c r="X384" s="3"/>
      <c r="Y384" s="3"/>
    </row>
    <row r="385" spans="3:25" x14ac:dyDescent="0.2">
      <c r="C385" s="3"/>
      <c r="E385" s="3"/>
      <c r="G385" s="3"/>
      <c r="I385" s="3"/>
      <c r="K385" s="3"/>
      <c r="M385" s="3"/>
      <c r="O385" s="3"/>
      <c r="Q385" s="3"/>
      <c r="S385" s="3"/>
      <c r="U385" s="3"/>
      <c r="V385" s="3"/>
      <c r="W385" s="3"/>
      <c r="X385" s="3"/>
      <c r="Y385" s="3"/>
    </row>
    <row r="386" spans="3:25" x14ac:dyDescent="0.2">
      <c r="C386" s="3"/>
      <c r="E386" s="3"/>
      <c r="G386" s="3"/>
      <c r="I386" s="3"/>
      <c r="K386" s="3"/>
      <c r="M386" s="3"/>
      <c r="O386" s="3"/>
      <c r="Q386" s="3"/>
      <c r="S386" s="3"/>
      <c r="U386" s="3"/>
      <c r="V386" s="3"/>
      <c r="W386" s="3"/>
      <c r="X386" s="3"/>
      <c r="Y386" s="3"/>
    </row>
    <row r="387" spans="3:25" x14ac:dyDescent="0.2">
      <c r="C387" s="3"/>
      <c r="E387" s="3"/>
      <c r="G387" s="3"/>
      <c r="I387" s="3"/>
      <c r="K387" s="3"/>
      <c r="M387" s="3"/>
      <c r="O387" s="3"/>
      <c r="Q387" s="3"/>
      <c r="S387" s="3"/>
      <c r="U387" s="3"/>
      <c r="V387" s="3"/>
      <c r="W387" s="3"/>
      <c r="X387" s="3"/>
      <c r="Y387" s="3"/>
    </row>
    <row r="388" spans="3:25" x14ac:dyDescent="0.2">
      <c r="C388" s="3"/>
      <c r="E388" s="3"/>
      <c r="G388" s="3"/>
      <c r="I388" s="3"/>
      <c r="K388" s="3"/>
      <c r="M388" s="3"/>
      <c r="O388" s="3"/>
      <c r="Q388" s="3"/>
      <c r="S388" s="3"/>
      <c r="U388" s="3"/>
      <c r="V388" s="3"/>
      <c r="W388" s="3"/>
      <c r="X388" s="3"/>
      <c r="Y388" s="3"/>
    </row>
    <row r="389" spans="3:25" x14ac:dyDescent="0.2">
      <c r="C389" s="3"/>
      <c r="E389" s="3"/>
      <c r="G389" s="3"/>
      <c r="I389" s="3"/>
      <c r="K389" s="3"/>
      <c r="M389" s="3"/>
      <c r="O389" s="3"/>
      <c r="Q389" s="3"/>
      <c r="S389" s="3"/>
      <c r="U389" s="3"/>
      <c r="V389" s="3"/>
      <c r="W389" s="3"/>
      <c r="X389" s="3"/>
      <c r="Y389" s="3"/>
    </row>
    <row r="390" spans="3:25" x14ac:dyDescent="0.2">
      <c r="C390" s="3"/>
      <c r="E390" s="3"/>
      <c r="G390" s="3"/>
      <c r="I390" s="3"/>
      <c r="K390" s="3"/>
      <c r="M390" s="3"/>
      <c r="O390" s="3"/>
      <c r="Q390" s="3"/>
      <c r="S390" s="3"/>
      <c r="U390" s="3"/>
      <c r="V390" s="3"/>
      <c r="W390" s="3"/>
      <c r="X390" s="3"/>
      <c r="Y390" s="3"/>
    </row>
    <row r="391" spans="3:25" x14ac:dyDescent="0.2">
      <c r="C391" s="3"/>
      <c r="E391" s="3"/>
      <c r="G391" s="3"/>
      <c r="I391" s="3"/>
      <c r="K391" s="3"/>
      <c r="M391" s="3"/>
      <c r="O391" s="3"/>
      <c r="Q391" s="3"/>
      <c r="S391" s="3"/>
      <c r="U391" s="3"/>
      <c r="V391" s="3"/>
      <c r="W391" s="3"/>
      <c r="X391" s="3"/>
      <c r="Y391" s="3"/>
    </row>
    <row r="392" spans="3:25" x14ac:dyDescent="0.2">
      <c r="C392" s="3"/>
      <c r="E392" s="3"/>
      <c r="G392" s="3"/>
      <c r="I392" s="3"/>
      <c r="K392" s="3"/>
      <c r="M392" s="3"/>
      <c r="O392" s="3"/>
      <c r="Q392" s="3"/>
      <c r="S392" s="3"/>
      <c r="U392" s="3"/>
      <c r="V392" s="3"/>
      <c r="W392" s="3"/>
      <c r="X392" s="3"/>
      <c r="Y392" s="3"/>
    </row>
    <row r="393" spans="3:25" x14ac:dyDescent="0.2">
      <c r="C393" s="3"/>
      <c r="E393" s="3"/>
      <c r="G393" s="3"/>
      <c r="I393" s="3"/>
      <c r="K393" s="3"/>
      <c r="M393" s="3"/>
      <c r="O393" s="3"/>
      <c r="Q393" s="3"/>
      <c r="S393" s="3"/>
      <c r="U393" s="3"/>
      <c r="V393" s="3"/>
      <c r="W393" s="3"/>
      <c r="X393" s="3"/>
      <c r="Y393" s="3"/>
    </row>
    <row r="394" spans="3:25" x14ac:dyDescent="0.2">
      <c r="C394" s="3"/>
      <c r="E394" s="3"/>
      <c r="G394" s="3"/>
      <c r="I394" s="3"/>
      <c r="K394" s="3"/>
      <c r="M394" s="3"/>
      <c r="O394" s="3"/>
      <c r="Q394" s="3"/>
      <c r="S394" s="3"/>
      <c r="U394" s="3"/>
      <c r="V394" s="3"/>
      <c r="W394" s="3"/>
      <c r="X394" s="3"/>
      <c r="Y394" s="3"/>
    </row>
    <row r="395" spans="3:25" x14ac:dyDescent="0.2">
      <c r="C395" s="3"/>
      <c r="E395" s="3"/>
      <c r="G395" s="3"/>
      <c r="I395" s="3"/>
      <c r="K395" s="3"/>
      <c r="M395" s="3"/>
      <c r="O395" s="3"/>
      <c r="Q395" s="3"/>
      <c r="S395" s="3"/>
      <c r="U395" s="3"/>
      <c r="V395" s="3"/>
      <c r="W395" s="3"/>
      <c r="X395" s="3"/>
      <c r="Y395" s="3"/>
    </row>
    <row r="396" spans="3:25" x14ac:dyDescent="0.2">
      <c r="C396" s="3"/>
      <c r="E396" s="3"/>
      <c r="G396" s="3"/>
      <c r="I396" s="3"/>
      <c r="K396" s="3"/>
      <c r="M396" s="3"/>
      <c r="O396" s="3"/>
      <c r="Q396" s="3"/>
      <c r="S396" s="3"/>
      <c r="U396" s="3"/>
      <c r="V396" s="3"/>
      <c r="W396" s="3"/>
      <c r="X396" s="3"/>
      <c r="Y396" s="3"/>
    </row>
    <row r="397" spans="3:25" x14ac:dyDescent="0.2">
      <c r="C397" s="3"/>
      <c r="E397" s="3"/>
      <c r="G397" s="3"/>
      <c r="I397" s="3"/>
      <c r="K397" s="3"/>
      <c r="M397" s="3"/>
      <c r="O397" s="3"/>
      <c r="Q397" s="3"/>
      <c r="S397" s="3"/>
      <c r="U397" s="3"/>
      <c r="V397" s="3"/>
      <c r="W397" s="3"/>
      <c r="X397" s="3"/>
      <c r="Y397" s="3"/>
    </row>
    <row r="398" spans="3:25" x14ac:dyDescent="0.2">
      <c r="C398" s="3"/>
      <c r="E398" s="3"/>
      <c r="G398" s="3"/>
      <c r="I398" s="3"/>
      <c r="K398" s="3"/>
      <c r="M398" s="3"/>
      <c r="O398" s="3"/>
      <c r="Q398" s="3"/>
      <c r="S398" s="3"/>
      <c r="U398" s="3"/>
      <c r="V398" s="3"/>
      <c r="W398" s="3"/>
      <c r="X398" s="3"/>
      <c r="Y398" s="3"/>
    </row>
    <row r="399" spans="3:25" x14ac:dyDescent="0.2">
      <c r="C399" s="3"/>
      <c r="E399" s="3"/>
      <c r="G399" s="3"/>
      <c r="I399" s="3"/>
      <c r="K399" s="3"/>
      <c r="M399" s="3"/>
      <c r="O399" s="3"/>
      <c r="Q399" s="3"/>
      <c r="S399" s="3"/>
      <c r="U399" s="3"/>
      <c r="V399" s="3"/>
      <c r="W399" s="3"/>
      <c r="X399" s="3"/>
      <c r="Y399" s="3"/>
    </row>
    <row r="400" spans="3:25" x14ac:dyDescent="0.2">
      <c r="C400" s="3"/>
      <c r="E400" s="3"/>
      <c r="G400" s="3"/>
      <c r="I400" s="3"/>
      <c r="K400" s="3"/>
      <c r="M400" s="3"/>
      <c r="O400" s="3"/>
      <c r="Q400" s="3"/>
      <c r="S400" s="3"/>
      <c r="U400" s="3"/>
      <c r="V400" s="3"/>
      <c r="W400" s="3"/>
      <c r="X400" s="3"/>
      <c r="Y400" s="3"/>
    </row>
    <row r="401" spans="3:25" x14ac:dyDescent="0.2">
      <c r="C401" s="3"/>
      <c r="E401" s="3"/>
      <c r="G401" s="3"/>
      <c r="I401" s="3"/>
      <c r="K401" s="3"/>
      <c r="M401" s="3"/>
      <c r="O401" s="3"/>
      <c r="Q401" s="3"/>
      <c r="S401" s="3"/>
      <c r="U401" s="3"/>
      <c r="V401" s="3"/>
      <c r="W401" s="3"/>
      <c r="X401" s="3"/>
      <c r="Y401" s="3"/>
    </row>
    <row r="402" spans="3:25" x14ac:dyDescent="0.2">
      <c r="C402" s="3"/>
      <c r="E402" s="3"/>
      <c r="G402" s="3"/>
      <c r="I402" s="3"/>
      <c r="K402" s="3"/>
      <c r="M402" s="3"/>
      <c r="O402" s="3"/>
      <c r="Q402" s="3"/>
      <c r="S402" s="3"/>
      <c r="U402" s="3"/>
      <c r="V402" s="3"/>
      <c r="W402" s="3"/>
      <c r="X402" s="3"/>
      <c r="Y402" s="3"/>
    </row>
    <row r="403" spans="3:25" x14ac:dyDescent="0.2">
      <c r="C403" s="3"/>
      <c r="E403" s="3"/>
      <c r="G403" s="3"/>
      <c r="I403" s="3"/>
      <c r="K403" s="3"/>
      <c r="M403" s="3"/>
      <c r="O403" s="3"/>
      <c r="Q403" s="3"/>
      <c r="S403" s="3"/>
      <c r="U403" s="3"/>
      <c r="V403" s="3"/>
      <c r="W403" s="3"/>
      <c r="X403" s="3"/>
      <c r="Y403" s="3"/>
    </row>
    <row r="404" spans="3:25" x14ac:dyDescent="0.2">
      <c r="C404" s="3"/>
      <c r="E404" s="3"/>
      <c r="G404" s="3"/>
      <c r="I404" s="3"/>
      <c r="K404" s="3"/>
      <c r="M404" s="3"/>
      <c r="O404" s="3"/>
      <c r="Q404" s="3"/>
      <c r="S404" s="3"/>
      <c r="U404" s="3"/>
      <c r="V404" s="3"/>
      <c r="W404" s="3"/>
      <c r="X404" s="3"/>
      <c r="Y404" s="3"/>
    </row>
    <row r="405" spans="3:25" x14ac:dyDescent="0.2">
      <c r="C405" s="3"/>
      <c r="E405" s="3"/>
      <c r="G405" s="3"/>
      <c r="I405" s="3"/>
      <c r="K405" s="3"/>
      <c r="M405" s="3"/>
      <c r="O405" s="3"/>
      <c r="Q405" s="3"/>
      <c r="S405" s="3"/>
      <c r="U405" s="3"/>
      <c r="V405" s="3"/>
      <c r="W405" s="3"/>
      <c r="X405" s="3"/>
      <c r="Y405" s="3"/>
    </row>
    <row r="406" spans="3:25" x14ac:dyDescent="0.2">
      <c r="C406" s="3"/>
      <c r="E406" s="3"/>
      <c r="G406" s="3"/>
      <c r="I406" s="3"/>
      <c r="K406" s="3"/>
      <c r="M406" s="3"/>
      <c r="O406" s="3"/>
      <c r="Q406" s="3"/>
      <c r="S406" s="3"/>
      <c r="U406" s="3"/>
      <c r="V406" s="3"/>
      <c r="W406" s="3"/>
      <c r="X406" s="3"/>
      <c r="Y406" s="3"/>
    </row>
    <row r="407" spans="3:25" x14ac:dyDescent="0.2">
      <c r="C407" s="3"/>
      <c r="E407" s="3"/>
      <c r="G407" s="3"/>
      <c r="I407" s="3"/>
      <c r="K407" s="3"/>
      <c r="M407" s="3"/>
      <c r="O407" s="3"/>
      <c r="Q407" s="3"/>
      <c r="S407" s="3"/>
      <c r="U407" s="3"/>
      <c r="V407" s="3"/>
      <c r="W407" s="3"/>
      <c r="X407" s="3"/>
      <c r="Y407" s="3"/>
    </row>
    <row r="408" spans="3:25" x14ac:dyDescent="0.2">
      <c r="C408" s="3"/>
      <c r="E408" s="3"/>
      <c r="G408" s="3"/>
      <c r="I408" s="3"/>
      <c r="K408" s="3"/>
      <c r="M408" s="3"/>
      <c r="O408" s="3"/>
      <c r="Q408" s="3"/>
      <c r="S408" s="3"/>
      <c r="U408" s="3"/>
      <c r="V408" s="3"/>
      <c r="W408" s="3"/>
      <c r="X408" s="3"/>
      <c r="Y408" s="3"/>
    </row>
    <row r="409" spans="3:25" x14ac:dyDescent="0.2">
      <c r="C409" s="3"/>
      <c r="E409" s="3"/>
      <c r="G409" s="3"/>
      <c r="I409" s="3"/>
      <c r="K409" s="3"/>
      <c r="M409" s="3"/>
      <c r="O409" s="3"/>
      <c r="Q409" s="3"/>
      <c r="S409" s="3"/>
      <c r="U409" s="3"/>
      <c r="V409" s="3"/>
      <c r="W409" s="3"/>
      <c r="X409" s="3"/>
      <c r="Y409" s="3"/>
    </row>
    <row r="410" spans="3:25" x14ac:dyDescent="0.2">
      <c r="C410" s="3"/>
      <c r="E410" s="3"/>
      <c r="G410" s="3"/>
      <c r="I410" s="3"/>
      <c r="K410" s="3"/>
      <c r="M410" s="3"/>
      <c r="O410" s="3"/>
      <c r="Q410" s="3"/>
      <c r="S410" s="3"/>
      <c r="U410" s="3"/>
      <c r="V410" s="3"/>
      <c r="W410" s="3"/>
      <c r="X410" s="3"/>
      <c r="Y410" s="3"/>
    </row>
    <row r="411" spans="3:25" x14ac:dyDescent="0.2">
      <c r="C411" s="3"/>
      <c r="E411" s="3"/>
      <c r="G411" s="3"/>
      <c r="I411" s="3"/>
      <c r="K411" s="3"/>
      <c r="M411" s="3"/>
      <c r="O411" s="3"/>
      <c r="Q411" s="3"/>
      <c r="S411" s="3"/>
      <c r="U411" s="3"/>
      <c r="V411" s="3"/>
      <c r="W411" s="3"/>
      <c r="X411" s="3"/>
      <c r="Y411" s="3"/>
    </row>
    <row r="412" spans="3:25" x14ac:dyDescent="0.2">
      <c r="C412" s="3"/>
      <c r="E412" s="3"/>
      <c r="G412" s="3"/>
      <c r="I412" s="3"/>
      <c r="K412" s="3"/>
      <c r="M412" s="3"/>
      <c r="O412" s="3"/>
      <c r="Q412" s="3"/>
      <c r="S412" s="3"/>
      <c r="U412" s="3"/>
      <c r="V412" s="3"/>
      <c r="W412" s="3"/>
      <c r="X412" s="3"/>
      <c r="Y412" s="3"/>
    </row>
    <row r="413" spans="3:25" x14ac:dyDescent="0.2">
      <c r="C413" s="3"/>
      <c r="E413" s="3"/>
      <c r="G413" s="3"/>
      <c r="I413" s="3"/>
      <c r="K413" s="3"/>
      <c r="M413" s="3"/>
      <c r="O413" s="3"/>
      <c r="Q413" s="3"/>
      <c r="S413" s="3"/>
      <c r="U413" s="3"/>
      <c r="V413" s="3"/>
      <c r="W413" s="3"/>
      <c r="X413" s="3"/>
      <c r="Y413" s="3"/>
    </row>
    <row r="414" spans="3:25" x14ac:dyDescent="0.2">
      <c r="C414" s="3"/>
      <c r="E414" s="3"/>
      <c r="G414" s="3"/>
      <c r="I414" s="3"/>
      <c r="K414" s="3"/>
      <c r="M414" s="3"/>
      <c r="O414" s="3"/>
      <c r="Q414" s="3"/>
      <c r="S414" s="3"/>
      <c r="U414" s="3"/>
      <c r="V414" s="3"/>
      <c r="W414" s="3"/>
      <c r="X414" s="3"/>
      <c r="Y414" s="3"/>
    </row>
    <row r="415" spans="3:25" x14ac:dyDescent="0.2">
      <c r="C415" s="3"/>
      <c r="E415" s="3"/>
      <c r="G415" s="3"/>
      <c r="I415" s="3"/>
      <c r="K415" s="3"/>
      <c r="M415" s="3"/>
      <c r="O415" s="3"/>
      <c r="Q415" s="3"/>
      <c r="S415" s="3"/>
      <c r="U415" s="3"/>
      <c r="V415" s="3"/>
      <c r="W415" s="3"/>
      <c r="X415" s="3"/>
      <c r="Y415" s="3"/>
    </row>
    <row r="416" spans="3:25" x14ac:dyDescent="0.2">
      <c r="C416" s="3"/>
      <c r="E416" s="3"/>
      <c r="G416" s="3"/>
      <c r="I416" s="3"/>
      <c r="K416" s="3"/>
      <c r="M416" s="3"/>
      <c r="O416" s="3"/>
      <c r="Q416" s="3"/>
      <c r="S416" s="3"/>
      <c r="U416" s="3"/>
      <c r="V416" s="3"/>
      <c r="W416" s="3"/>
      <c r="X416" s="3"/>
      <c r="Y416" s="3"/>
    </row>
    <row r="417" spans="3:25" x14ac:dyDescent="0.2">
      <c r="C417" s="3"/>
      <c r="E417" s="3"/>
      <c r="G417" s="3"/>
      <c r="I417" s="3"/>
      <c r="K417" s="3"/>
      <c r="M417" s="3"/>
      <c r="O417" s="3"/>
      <c r="Q417" s="3"/>
      <c r="S417" s="3"/>
      <c r="U417" s="3"/>
      <c r="V417" s="3"/>
      <c r="W417" s="3"/>
      <c r="X417" s="3"/>
      <c r="Y417" s="3"/>
    </row>
    <row r="418" spans="3:25" x14ac:dyDescent="0.2">
      <c r="C418" s="3"/>
      <c r="E418" s="3"/>
      <c r="G418" s="3"/>
      <c r="I418" s="3"/>
      <c r="K418" s="3"/>
      <c r="M418" s="3"/>
      <c r="O418" s="3"/>
      <c r="Q418" s="3"/>
      <c r="S418" s="3"/>
      <c r="U418" s="3"/>
      <c r="V418" s="3"/>
      <c r="W418" s="3"/>
      <c r="X418" s="3"/>
      <c r="Y418" s="3"/>
    </row>
    <row r="419" spans="3:25" x14ac:dyDescent="0.2">
      <c r="C419" s="3"/>
      <c r="E419" s="3"/>
      <c r="G419" s="3"/>
      <c r="I419" s="3"/>
      <c r="K419" s="3"/>
      <c r="M419" s="3"/>
      <c r="O419" s="3"/>
      <c r="Q419" s="3"/>
      <c r="S419" s="3"/>
      <c r="U419" s="3"/>
      <c r="V419" s="3"/>
      <c r="W419" s="3"/>
      <c r="X419" s="3"/>
      <c r="Y419" s="3"/>
    </row>
    <row r="420" spans="3:25" x14ac:dyDescent="0.2">
      <c r="C420" s="3"/>
      <c r="E420" s="3"/>
      <c r="G420" s="3"/>
      <c r="I420" s="3"/>
      <c r="K420" s="3"/>
      <c r="M420" s="3"/>
      <c r="O420" s="3"/>
      <c r="Q420" s="3"/>
      <c r="S420" s="3"/>
      <c r="U420" s="3"/>
      <c r="V420" s="3"/>
      <c r="W420" s="3"/>
      <c r="X420" s="3"/>
      <c r="Y420" s="3"/>
    </row>
    <row r="421" spans="3:25" x14ac:dyDescent="0.2">
      <c r="C421" s="3"/>
      <c r="E421" s="3"/>
      <c r="G421" s="3"/>
      <c r="I421" s="3"/>
      <c r="K421" s="3"/>
      <c r="M421" s="3"/>
      <c r="O421" s="3"/>
      <c r="Q421" s="3"/>
      <c r="S421" s="3"/>
      <c r="U421" s="3"/>
      <c r="V421" s="3"/>
      <c r="W421" s="3"/>
      <c r="X421" s="3"/>
      <c r="Y421" s="3"/>
    </row>
    <row r="422" spans="3:25" x14ac:dyDescent="0.2">
      <c r="C422" s="3"/>
      <c r="E422" s="3"/>
      <c r="G422" s="3"/>
      <c r="I422" s="3"/>
      <c r="K422" s="3"/>
      <c r="M422" s="3"/>
      <c r="O422" s="3"/>
      <c r="Q422" s="3"/>
      <c r="S422" s="3"/>
      <c r="U422" s="3"/>
      <c r="V422" s="3"/>
      <c r="W422" s="3"/>
      <c r="X422" s="3"/>
      <c r="Y422" s="3"/>
    </row>
    <row r="423" spans="3:25" x14ac:dyDescent="0.2">
      <c r="C423" s="3"/>
      <c r="E423" s="3"/>
      <c r="G423" s="3"/>
      <c r="I423" s="3"/>
      <c r="K423" s="3"/>
      <c r="M423" s="3"/>
      <c r="O423" s="3"/>
      <c r="Q423" s="3"/>
      <c r="S423" s="3"/>
      <c r="U423" s="3"/>
      <c r="V423" s="3"/>
      <c r="W423" s="3"/>
      <c r="X423" s="3"/>
      <c r="Y423" s="3"/>
    </row>
    <row r="424" spans="3:25" x14ac:dyDescent="0.2">
      <c r="C424" s="3"/>
      <c r="E424" s="3"/>
      <c r="G424" s="3"/>
      <c r="I424" s="3"/>
      <c r="K424" s="3"/>
      <c r="M424" s="3"/>
      <c r="O424" s="3"/>
      <c r="Q424" s="3"/>
      <c r="S424" s="3"/>
      <c r="U424" s="3"/>
      <c r="V424" s="3"/>
      <c r="W424" s="3"/>
      <c r="X424" s="3"/>
      <c r="Y424" s="3"/>
    </row>
    <row r="425" spans="3:25" x14ac:dyDescent="0.2">
      <c r="C425" s="3"/>
      <c r="E425" s="3"/>
      <c r="G425" s="3"/>
      <c r="I425" s="3"/>
      <c r="K425" s="3"/>
      <c r="M425" s="3"/>
      <c r="O425" s="3"/>
      <c r="Q425" s="3"/>
      <c r="S425" s="3"/>
      <c r="U425" s="3"/>
      <c r="V425" s="3"/>
      <c r="W425" s="3"/>
      <c r="X425" s="3"/>
      <c r="Y425" s="3"/>
    </row>
    <row r="426" spans="3:25" x14ac:dyDescent="0.2">
      <c r="C426" s="3"/>
      <c r="E426" s="3"/>
      <c r="G426" s="3"/>
      <c r="I426" s="3"/>
      <c r="K426" s="3"/>
      <c r="M426" s="3"/>
      <c r="O426" s="3"/>
      <c r="Q426" s="3"/>
      <c r="S426" s="3"/>
      <c r="U426" s="3"/>
      <c r="V426" s="3"/>
      <c r="W426" s="3"/>
      <c r="X426" s="3"/>
      <c r="Y426" s="3"/>
    </row>
    <row r="427" spans="3:25" x14ac:dyDescent="0.2">
      <c r="C427" s="3"/>
      <c r="E427" s="3"/>
      <c r="G427" s="3"/>
      <c r="I427" s="3"/>
      <c r="K427" s="3"/>
      <c r="M427" s="3"/>
      <c r="O427" s="3"/>
      <c r="Q427" s="3"/>
      <c r="S427" s="3"/>
      <c r="U427" s="3"/>
      <c r="V427" s="3"/>
      <c r="W427" s="3"/>
      <c r="X427" s="3"/>
      <c r="Y427" s="3"/>
    </row>
    <row r="428" spans="3:25" x14ac:dyDescent="0.2">
      <c r="C428" s="3"/>
      <c r="E428" s="3"/>
      <c r="G428" s="3"/>
      <c r="I428" s="3"/>
      <c r="K428" s="3"/>
      <c r="M428" s="3"/>
      <c r="O428" s="3"/>
      <c r="Q428" s="3"/>
      <c r="S428" s="3"/>
      <c r="U428" s="3"/>
      <c r="V428" s="3"/>
      <c r="W428" s="3"/>
      <c r="X428" s="3"/>
      <c r="Y428" s="3"/>
    </row>
    <row r="429" spans="3:25" x14ac:dyDescent="0.2">
      <c r="C429" s="3"/>
      <c r="E429" s="3"/>
      <c r="G429" s="3"/>
      <c r="I429" s="3"/>
      <c r="K429" s="3"/>
      <c r="M429" s="3"/>
      <c r="O429" s="3"/>
      <c r="Q429" s="3"/>
      <c r="S429" s="3"/>
      <c r="U429" s="3"/>
      <c r="V429" s="3"/>
      <c r="W429" s="3"/>
      <c r="X429" s="3"/>
      <c r="Y429" s="3"/>
    </row>
    <row r="430" spans="3:25" x14ac:dyDescent="0.2">
      <c r="C430" s="3"/>
      <c r="E430" s="3"/>
      <c r="G430" s="3"/>
      <c r="I430" s="3"/>
      <c r="K430" s="3"/>
      <c r="M430" s="3"/>
      <c r="O430" s="3"/>
      <c r="Q430" s="3"/>
      <c r="S430" s="3"/>
      <c r="U430" s="3"/>
      <c r="V430" s="3"/>
      <c r="W430" s="3"/>
      <c r="X430" s="3"/>
      <c r="Y430" s="3"/>
    </row>
    <row r="431" spans="3:25" x14ac:dyDescent="0.2">
      <c r="C431" s="3"/>
      <c r="E431" s="3"/>
      <c r="G431" s="3"/>
      <c r="I431" s="3"/>
      <c r="K431" s="3"/>
      <c r="M431" s="3"/>
      <c r="O431" s="3"/>
      <c r="Q431" s="3"/>
      <c r="S431" s="3"/>
      <c r="U431" s="3"/>
      <c r="V431" s="3"/>
      <c r="W431" s="3"/>
      <c r="X431" s="3"/>
      <c r="Y431" s="3"/>
    </row>
    <row r="432" spans="3:25" x14ac:dyDescent="0.2">
      <c r="C432" s="3"/>
      <c r="E432" s="3"/>
      <c r="G432" s="3"/>
      <c r="I432" s="3"/>
      <c r="K432" s="3"/>
      <c r="M432" s="3"/>
      <c r="O432" s="3"/>
      <c r="Q432" s="3"/>
      <c r="S432" s="3"/>
      <c r="U432" s="3"/>
      <c r="V432" s="3"/>
      <c r="W432" s="3"/>
      <c r="X432" s="3"/>
      <c r="Y432" s="3"/>
    </row>
    <row r="433" spans="3:25" x14ac:dyDescent="0.2">
      <c r="C433" s="3"/>
      <c r="E433" s="3"/>
      <c r="G433" s="3"/>
      <c r="I433" s="3"/>
      <c r="K433" s="3"/>
      <c r="M433" s="3"/>
      <c r="O433" s="3"/>
      <c r="Q433" s="3"/>
      <c r="S433" s="3"/>
      <c r="U433" s="3"/>
      <c r="V433" s="3"/>
      <c r="W433" s="3"/>
      <c r="X433" s="3"/>
      <c r="Y433" s="3"/>
    </row>
    <row r="434" spans="3:25" x14ac:dyDescent="0.2">
      <c r="C434" s="3"/>
      <c r="E434" s="3"/>
      <c r="G434" s="3"/>
      <c r="I434" s="3"/>
      <c r="K434" s="3"/>
      <c r="M434" s="3"/>
      <c r="O434" s="3"/>
      <c r="Q434" s="3"/>
      <c r="S434" s="3"/>
      <c r="U434" s="3"/>
      <c r="V434" s="3"/>
      <c r="W434" s="3"/>
      <c r="X434" s="3"/>
      <c r="Y434" s="3"/>
    </row>
    <row r="435" spans="3:25" x14ac:dyDescent="0.2">
      <c r="C435" s="3"/>
      <c r="E435" s="3"/>
      <c r="G435" s="3"/>
      <c r="I435" s="3"/>
      <c r="K435" s="3"/>
      <c r="M435" s="3"/>
      <c r="O435" s="3"/>
      <c r="Q435" s="3"/>
      <c r="S435" s="3"/>
      <c r="U435" s="3"/>
      <c r="V435" s="3"/>
      <c r="W435" s="3"/>
      <c r="X435" s="3"/>
      <c r="Y435" s="3"/>
    </row>
    <row r="436" spans="3:25" x14ac:dyDescent="0.2">
      <c r="C436" s="3"/>
      <c r="E436" s="3"/>
      <c r="G436" s="3"/>
      <c r="I436" s="3"/>
      <c r="K436" s="3"/>
      <c r="M436" s="3"/>
      <c r="O436" s="3"/>
      <c r="Q436" s="3"/>
      <c r="S436" s="3"/>
      <c r="U436" s="3"/>
      <c r="V436" s="3"/>
      <c r="W436" s="3"/>
      <c r="X436" s="3"/>
      <c r="Y436" s="3"/>
    </row>
    <row r="437" spans="3:25" x14ac:dyDescent="0.2">
      <c r="C437" s="3"/>
      <c r="E437" s="3"/>
      <c r="G437" s="3"/>
      <c r="I437" s="3"/>
      <c r="K437" s="3"/>
      <c r="M437" s="3"/>
      <c r="O437" s="3"/>
      <c r="Q437" s="3"/>
      <c r="S437" s="3"/>
      <c r="U437" s="3"/>
      <c r="V437" s="3"/>
      <c r="W437" s="3"/>
      <c r="X437" s="3"/>
      <c r="Y437" s="3"/>
    </row>
    <row r="438" spans="3:25" x14ac:dyDescent="0.2">
      <c r="C438" s="3"/>
      <c r="E438" s="3"/>
      <c r="G438" s="3"/>
      <c r="I438" s="3"/>
      <c r="K438" s="3"/>
      <c r="M438" s="3"/>
      <c r="O438" s="3"/>
      <c r="Q438" s="3"/>
      <c r="S438" s="3"/>
      <c r="U438" s="3"/>
      <c r="V438" s="3"/>
      <c r="W438" s="3"/>
      <c r="X438" s="3"/>
      <c r="Y438" s="3"/>
    </row>
    <row r="439" spans="3:25" x14ac:dyDescent="0.2">
      <c r="C439" s="3"/>
      <c r="E439" s="3"/>
      <c r="G439" s="3"/>
      <c r="I439" s="3"/>
      <c r="K439" s="3"/>
      <c r="M439" s="3"/>
      <c r="O439" s="3"/>
      <c r="Q439" s="3"/>
      <c r="S439" s="3"/>
      <c r="U439" s="3"/>
      <c r="V439" s="3"/>
      <c r="W439" s="3"/>
      <c r="X439" s="3"/>
      <c r="Y439" s="3"/>
    </row>
    <row r="440" spans="3:25" x14ac:dyDescent="0.2">
      <c r="C440" s="3"/>
      <c r="E440" s="3"/>
      <c r="G440" s="3"/>
      <c r="I440" s="3"/>
      <c r="K440" s="3"/>
      <c r="M440" s="3"/>
      <c r="O440" s="3"/>
      <c r="Q440" s="3"/>
      <c r="S440" s="3"/>
      <c r="U440" s="3"/>
      <c r="V440" s="3"/>
      <c r="W440" s="3"/>
      <c r="X440" s="3"/>
      <c r="Y440" s="3"/>
    </row>
    <row r="441" spans="3:25" x14ac:dyDescent="0.2">
      <c r="C441" s="3"/>
      <c r="E441" s="3"/>
      <c r="G441" s="3"/>
      <c r="I441" s="3"/>
      <c r="K441" s="3"/>
      <c r="M441" s="3"/>
      <c r="O441" s="3"/>
      <c r="Q441" s="3"/>
      <c r="S441" s="3"/>
      <c r="U441" s="3"/>
      <c r="V441" s="3"/>
      <c r="W441" s="3"/>
      <c r="X441" s="3"/>
      <c r="Y441" s="3"/>
    </row>
    <row r="442" spans="3:25" x14ac:dyDescent="0.2">
      <c r="C442" s="3"/>
      <c r="E442" s="3"/>
      <c r="G442" s="3"/>
      <c r="I442" s="3"/>
      <c r="K442" s="3"/>
      <c r="M442" s="3"/>
      <c r="O442" s="3"/>
      <c r="Q442" s="3"/>
      <c r="S442" s="3"/>
      <c r="U442" s="3"/>
      <c r="V442" s="3"/>
      <c r="W442" s="3"/>
      <c r="X442" s="3"/>
      <c r="Y442" s="3"/>
    </row>
    <row r="443" spans="3:25" x14ac:dyDescent="0.2">
      <c r="C443" s="3"/>
      <c r="E443" s="3"/>
      <c r="G443" s="3"/>
      <c r="I443" s="3"/>
      <c r="K443" s="3"/>
      <c r="M443" s="3"/>
      <c r="O443" s="3"/>
      <c r="Q443" s="3"/>
      <c r="S443" s="3"/>
      <c r="U443" s="3"/>
      <c r="V443" s="3"/>
      <c r="W443" s="3"/>
      <c r="X443" s="3"/>
      <c r="Y443" s="3"/>
    </row>
    <row r="444" spans="3:25" x14ac:dyDescent="0.2">
      <c r="C444" s="3"/>
      <c r="E444" s="3"/>
      <c r="G444" s="3"/>
      <c r="I444" s="3"/>
      <c r="K444" s="3"/>
      <c r="M444" s="3"/>
      <c r="O444" s="3"/>
      <c r="Q444" s="3"/>
      <c r="S444" s="3"/>
      <c r="U444" s="3"/>
      <c r="V444" s="3"/>
      <c r="W444" s="3"/>
      <c r="X444" s="3"/>
      <c r="Y444" s="3"/>
    </row>
    <row r="445" spans="3:25" x14ac:dyDescent="0.2">
      <c r="C445" s="3"/>
      <c r="E445" s="3"/>
      <c r="G445" s="3"/>
      <c r="I445" s="3"/>
      <c r="K445" s="3"/>
      <c r="M445" s="3"/>
      <c r="O445" s="3"/>
      <c r="Q445" s="3"/>
      <c r="S445" s="3"/>
      <c r="U445" s="3"/>
      <c r="V445" s="3"/>
      <c r="W445" s="3"/>
      <c r="X445" s="3"/>
      <c r="Y445" s="3"/>
    </row>
    <row r="446" spans="3:25" x14ac:dyDescent="0.2">
      <c r="C446" s="3"/>
      <c r="E446" s="3"/>
      <c r="G446" s="3"/>
      <c r="I446" s="3"/>
      <c r="K446" s="3"/>
      <c r="M446" s="3"/>
      <c r="O446" s="3"/>
      <c r="Q446" s="3"/>
      <c r="S446" s="3"/>
      <c r="U446" s="3"/>
      <c r="V446" s="3"/>
      <c r="W446" s="3"/>
      <c r="X446" s="3"/>
      <c r="Y446" s="3"/>
    </row>
    <row r="447" spans="3:25" x14ac:dyDescent="0.2">
      <c r="C447" s="3"/>
      <c r="E447" s="3"/>
      <c r="G447" s="3"/>
      <c r="I447" s="3"/>
      <c r="K447" s="3"/>
      <c r="M447" s="3"/>
      <c r="O447" s="3"/>
      <c r="Q447" s="3"/>
      <c r="S447" s="3"/>
      <c r="U447" s="3"/>
      <c r="V447" s="3"/>
      <c r="W447" s="3"/>
      <c r="X447" s="3"/>
      <c r="Y447" s="3"/>
    </row>
    <row r="448" spans="3:25" x14ac:dyDescent="0.2">
      <c r="C448" s="3"/>
      <c r="E448" s="3"/>
      <c r="G448" s="3"/>
      <c r="I448" s="3"/>
      <c r="K448" s="3"/>
      <c r="M448" s="3"/>
      <c r="O448" s="3"/>
      <c r="Q448" s="3"/>
      <c r="S448" s="3"/>
      <c r="U448" s="3"/>
      <c r="V448" s="3"/>
      <c r="W448" s="3"/>
      <c r="X448" s="3"/>
      <c r="Y448" s="3"/>
    </row>
    <row r="449" spans="3:25" x14ac:dyDescent="0.2">
      <c r="C449" s="3"/>
      <c r="E449" s="3"/>
      <c r="G449" s="3"/>
      <c r="I449" s="3"/>
      <c r="K449" s="3"/>
      <c r="M449" s="3"/>
      <c r="O449" s="3"/>
      <c r="Q449" s="3"/>
      <c r="S449" s="3"/>
      <c r="U449" s="3"/>
      <c r="V449" s="3"/>
      <c r="W449" s="3"/>
      <c r="X449" s="3"/>
      <c r="Y449" s="3"/>
    </row>
    <row r="450" spans="3:25" x14ac:dyDescent="0.2">
      <c r="C450" s="3"/>
      <c r="E450" s="3"/>
      <c r="G450" s="3"/>
      <c r="I450" s="3"/>
      <c r="K450" s="3"/>
      <c r="M450" s="3"/>
      <c r="O450" s="3"/>
      <c r="Q450" s="3"/>
      <c r="S450" s="3"/>
      <c r="U450" s="3"/>
      <c r="V450" s="3"/>
      <c r="W450" s="3"/>
      <c r="X450" s="3"/>
      <c r="Y450" s="3"/>
    </row>
    <row r="451" spans="3:25" x14ac:dyDescent="0.2">
      <c r="C451" s="3"/>
      <c r="E451" s="3"/>
      <c r="G451" s="3"/>
      <c r="I451" s="3"/>
      <c r="K451" s="3"/>
      <c r="M451" s="3"/>
      <c r="O451" s="3"/>
      <c r="Q451" s="3"/>
      <c r="S451" s="3"/>
      <c r="U451" s="3"/>
      <c r="V451" s="3"/>
      <c r="W451" s="3"/>
      <c r="X451" s="3"/>
      <c r="Y451" s="3"/>
    </row>
    <row r="452" spans="3:25" x14ac:dyDescent="0.2">
      <c r="C452" s="3"/>
      <c r="E452" s="3"/>
      <c r="G452" s="3"/>
      <c r="I452" s="3"/>
      <c r="K452" s="3"/>
      <c r="M452" s="3"/>
      <c r="O452" s="3"/>
      <c r="Q452" s="3"/>
      <c r="S452" s="3"/>
      <c r="U452" s="3"/>
      <c r="V452" s="3"/>
      <c r="W452" s="3"/>
      <c r="X452" s="3"/>
      <c r="Y452" s="3"/>
    </row>
    <row r="453" spans="3:25" x14ac:dyDescent="0.2">
      <c r="C453" s="3"/>
      <c r="E453" s="3"/>
      <c r="G453" s="3"/>
      <c r="I453" s="3"/>
      <c r="K453" s="3"/>
      <c r="M453" s="3"/>
      <c r="O453" s="3"/>
      <c r="Q453" s="3"/>
      <c r="S453" s="3"/>
      <c r="U453" s="3"/>
      <c r="V453" s="3"/>
      <c r="W453" s="3"/>
      <c r="X453" s="3"/>
      <c r="Y453" s="3"/>
    </row>
    <row r="454" spans="3:25" x14ac:dyDescent="0.2">
      <c r="C454" s="3"/>
      <c r="E454" s="3"/>
      <c r="G454" s="3"/>
      <c r="I454" s="3"/>
      <c r="K454" s="3"/>
      <c r="M454" s="3"/>
      <c r="O454" s="3"/>
      <c r="Q454" s="3"/>
      <c r="S454" s="3"/>
      <c r="U454" s="3"/>
      <c r="V454" s="3"/>
      <c r="W454" s="3"/>
      <c r="X454" s="3"/>
      <c r="Y454" s="3"/>
    </row>
    <row r="455" spans="3:25" x14ac:dyDescent="0.2">
      <c r="C455" s="3"/>
      <c r="E455" s="3"/>
      <c r="G455" s="3"/>
      <c r="I455" s="3"/>
      <c r="K455" s="3"/>
      <c r="M455" s="3"/>
      <c r="O455" s="3"/>
      <c r="Q455" s="3"/>
      <c r="S455" s="3"/>
      <c r="U455" s="3"/>
      <c r="V455" s="3"/>
      <c r="W455" s="3"/>
      <c r="X455" s="3"/>
      <c r="Y455" s="3"/>
    </row>
    <row r="456" spans="3:25" x14ac:dyDescent="0.2">
      <c r="C456" s="3"/>
      <c r="E456" s="3"/>
      <c r="G456" s="3"/>
      <c r="I456" s="3"/>
      <c r="K456" s="3"/>
      <c r="M456" s="3"/>
      <c r="O456" s="3"/>
      <c r="Q456" s="3"/>
      <c r="S456" s="3"/>
      <c r="U456" s="3"/>
      <c r="V456" s="3"/>
      <c r="W456" s="3"/>
      <c r="X456" s="3"/>
      <c r="Y456" s="3"/>
    </row>
    <row r="457" spans="3:25" x14ac:dyDescent="0.2">
      <c r="C457" s="3"/>
      <c r="E457" s="3"/>
      <c r="G457" s="3"/>
      <c r="I457" s="3"/>
      <c r="K457" s="3"/>
      <c r="M457" s="3"/>
      <c r="O457" s="3"/>
      <c r="Q457" s="3"/>
      <c r="S457" s="3"/>
      <c r="U457" s="3"/>
      <c r="V457" s="3"/>
      <c r="W457" s="3"/>
      <c r="X457" s="3"/>
      <c r="Y457" s="3"/>
    </row>
    <row r="458" spans="3:25" x14ac:dyDescent="0.2">
      <c r="C458" s="3"/>
      <c r="E458" s="3"/>
      <c r="G458" s="3"/>
      <c r="I458" s="3"/>
      <c r="K458" s="3"/>
      <c r="M458" s="3"/>
      <c r="O458" s="3"/>
      <c r="Q458" s="3"/>
      <c r="S458" s="3"/>
      <c r="U458" s="3"/>
      <c r="V458" s="3"/>
      <c r="W458" s="3"/>
      <c r="X458" s="3"/>
      <c r="Y458" s="3"/>
    </row>
    <row r="459" spans="3:25" x14ac:dyDescent="0.2">
      <c r="C459" s="3"/>
      <c r="E459" s="3"/>
      <c r="G459" s="3"/>
      <c r="I459" s="3"/>
      <c r="K459" s="3"/>
      <c r="M459" s="3"/>
      <c r="O459" s="3"/>
      <c r="Q459" s="3"/>
      <c r="S459" s="3"/>
      <c r="U459" s="3"/>
      <c r="V459" s="3"/>
      <c r="W459" s="3"/>
      <c r="X459" s="3"/>
      <c r="Y459" s="3"/>
    </row>
    <row r="460" spans="3:25" x14ac:dyDescent="0.2">
      <c r="C460" s="3"/>
      <c r="E460" s="3"/>
      <c r="G460" s="3"/>
      <c r="I460" s="3"/>
      <c r="K460" s="3"/>
      <c r="M460" s="3"/>
      <c r="O460" s="3"/>
      <c r="Q460" s="3"/>
      <c r="S460" s="3"/>
      <c r="U460" s="3"/>
      <c r="V460" s="3"/>
      <c r="W460" s="3"/>
      <c r="X460" s="3"/>
      <c r="Y460" s="3"/>
    </row>
    <row r="461" spans="3:25" x14ac:dyDescent="0.2">
      <c r="C461" s="3"/>
      <c r="E461" s="3"/>
      <c r="G461" s="3"/>
      <c r="I461" s="3"/>
      <c r="K461" s="3"/>
      <c r="M461" s="3"/>
      <c r="O461" s="3"/>
      <c r="Q461" s="3"/>
      <c r="S461" s="3"/>
      <c r="U461" s="3"/>
      <c r="V461" s="3"/>
      <c r="W461" s="3"/>
      <c r="X461" s="3"/>
      <c r="Y461" s="3"/>
    </row>
    <row r="462" spans="3:25" x14ac:dyDescent="0.2">
      <c r="C462" s="3"/>
      <c r="E462" s="3"/>
      <c r="G462" s="3"/>
      <c r="I462" s="3"/>
      <c r="K462" s="3"/>
      <c r="M462" s="3"/>
      <c r="O462" s="3"/>
      <c r="Q462" s="3"/>
      <c r="S462" s="3"/>
      <c r="U462" s="3"/>
      <c r="V462" s="3"/>
      <c r="W462" s="3"/>
      <c r="X462" s="3"/>
      <c r="Y462" s="3"/>
    </row>
    <row r="463" spans="3:25" x14ac:dyDescent="0.2">
      <c r="C463" s="3"/>
      <c r="E463" s="3"/>
      <c r="G463" s="3"/>
      <c r="I463" s="3"/>
      <c r="K463" s="3"/>
      <c r="M463" s="3"/>
      <c r="O463" s="3"/>
      <c r="Q463" s="3"/>
      <c r="S463" s="3"/>
      <c r="U463" s="3"/>
      <c r="V463" s="3"/>
      <c r="W463" s="3"/>
      <c r="X463" s="3"/>
      <c r="Y463" s="3"/>
    </row>
    <row r="464" spans="3:25" x14ac:dyDescent="0.2">
      <c r="C464" s="3"/>
      <c r="E464" s="3"/>
      <c r="G464" s="3"/>
      <c r="I464" s="3"/>
      <c r="K464" s="3"/>
      <c r="M464" s="3"/>
      <c r="O464" s="3"/>
      <c r="Q464" s="3"/>
      <c r="S464" s="3"/>
      <c r="U464" s="3"/>
      <c r="V464" s="3"/>
      <c r="W464" s="3"/>
      <c r="X464" s="3"/>
      <c r="Y464" s="3"/>
    </row>
    <row r="465" spans="3:25" x14ac:dyDescent="0.2">
      <c r="C465" s="3"/>
      <c r="E465" s="3"/>
      <c r="G465" s="3"/>
      <c r="I465" s="3"/>
      <c r="K465" s="3"/>
      <c r="M465" s="3"/>
      <c r="O465" s="3"/>
      <c r="Q465" s="3"/>
      <c r="S465" s="3"/>
      <c r="U465" s="3"/>
      <c r="V465" s="3"/>
      <c r="W465" s="3"/>
      <c r="X465" s="3"/>
      <c r="Y465" s="3"/>
    </row>
    <row r="466" spans="3:25" x14ac:dyDescent="0.2">
      <c r="C466" s="3"/>
      <c r="E466" s="3"/>
      <c r="G466" s="3"/>
      <c r="I466" s="3"/>
      <c r="K466" s="3"/>
      <c r="M466" s="3"/>
      <c r="O466" s="3"/>
      <c r="Q466" s="3"/>
      <c r="S466" s="3"/>
      <c r="U466" s="3"/>
      <c r="V466" s="3"/>
      <c r="W466" s="3"/>
      <c r="X466" s="3"/>
      <c r="Y466" s="3"/>
    </row>
    <row r="467" spans="3:25" x14ac:dyDescent="0.2">
      <c r="C467" s="3"/>
      <c r="E467" s="3"/>
      <c r="G467" s="3"/>
      <c r="I467" s="3"/>
      <c r="K467" s="3"/>
      <c r="M467" s="3"/>
      <c r="O467" s="3"/>
      <c r="Q467" s="3"/>
      <c r="S467" s="3"/>
      <c r="U467" s="3"/>
      <c r="V467" s="3"/>
      <c r="W467" s="3"/>
      <c r="X467" s="3"/>
      <c r="Y467" s="3"/>
    </row>
    <row r="468" spans="3:25" x14ac:dyDescent="0.2">
      <c r="C468" s="3"/>
      <c r="E468" s="3"/>
      <c r="G468" s="3"/>
      <c r="I468" s="3"/>
      <c r="K468" s="3"/>
      <c r="M468" s="3"/>
      <c r="O468" s="3"/>
      <c r="Q468" s="3"/>
      <c r="S468" s="3"/>
      <c r="U468" s="3"/>
      <c r="V468" s="3"/>
      <c r="W468" s="3"/>
      <c r="X468" s="3"/>
      <c r="Y468" s="3"/>
    </row>
    <row r="469" spans="3:25" x14ac:dyDescent="0.2">
      <c r="C469" s="3"/>
      <c r="E469" s="3"/>
      <c r="G469" s="3"/>
      <c r="I469" s="3"/>
      <c r="K469" s="3"/>
      <c r="M469" s="3"/>
      <c r="O469" s="3"/>
      <c r="Q469" s="3"/>
      <c r="S469" s="3"/>
      <c r="U469" s="3"/>
      <c r="V469" s="3"/>
      <c r="W469" s="3"/>
      <c r="X469" s="3"/>
      <c r="Y469" s="3"/>
    </row>
    <row r="470" spans="3:25" x14ac:dyDescent="0.2">
      <c r="C470" s="3"/>
      <c r="E470" s="3"/>
      <c r="G470" s="3"/>
      <c r="I470" s="3"/>
      <c r="K470" s="3"/>
      <c r="M470" s="3"/>
      <c r="O470" s="3"/>
      <c r="Q470" s="3"/>
      <c r="S470" s="3"/>
      <c r="U470" s="3"/>
      <c r="V470" s="3"/>
      <c r="W470" s="3"/>
      <c r="X470" s="3"/>
      <c r="Y470" s="3"/>
    </row>
    <row r="471" spans="3:25" x14ac:dyDescent="0.2">
      <c r="C471" s="3"/>
      <c r="E471" s="3"/>
      <c r="G471" s="3"/>
      <c r="I471" s="3"/>
      <c r="K471" s="3"/>
      <c r="M471" s="3"/>
      <c r="O471" s="3"/>
      <c r="Q471" s="3"/>
      <c r="S471" s="3"/>
      <c r="U471" s="3"/>
      <c r="V471" s="3"/>
      <c r="W471" s="3"/>
      <c r="X471" s="3"/>
      <c r="Y471" s="3"/>
    </row>
    <row r="472" spans="3:25" x14ac:dyDescent="0.2">
      <c r="C472" s="3"/>
      <c r="E472" s="3"/>
      <c r="G472" s="3"/>
      <c r="I472" s="3"/>
      <c r="K472" s="3"/>
      <c r="M472" s="3"/>
      <c r="O472" s="3"/>
      <c r="Q472" s="3"/>
      <c r="S472" s="3"/>
      <c r="U472" s="3"/>
      <c r="V472" s="3"/>
      <c r="W472" s="3"/>
      <c r="X472" s="3"/>
      <c r="Y472" s="3"/>
    </row>
    <row r="473" spans="3:25" x14ac:dyDescent="0.2">
      <c r="C473" s="3"/>
      <c r="E473" s="3"/>
      <c r="G473" s="3"/>
      <c r="I473" s="3"/>
      <c r="K473" s="3"/>
      <c r="M473" s="3"/>
      <c r="O473" s="3"/>
      <c r="Q473" s="3"/>
      <c r="S473" s="3"/>
      <c r="U473" s="3"/>
      <c r="V473" s="3"/>
      <c r="W473" s="3"/>
      <c r="X473" s="3"/>
      <c r="Y473" s="3"/>
    </row>
    <row r="474" spans="3:25" x14ac:dyDescent="0.2">
      <c r="C474" s="3"/>
      <c r="E474" s="3"/>
      <c r="G474" s="3"/>
      <c r="I474" s="3"/>
      <c r="K474" s="3"/>
      <c r="M474" s="3"/>
      <c r="O474" s="3"/>
      <c r="Q474" s="3"/>
      <c r="S474" s="3"/>
      <c r="U474" s="3"/>
      <c r="V474" s="3"/>
      <c r="W474" s="3"/>
      <c r="X474" s="3"/>
      <c r="Y474" s="3"/>
    </row>
    <row r="475" spans="3:25" x14ac:dyDescent="0.2">
      <c r="C475" s="3"/>
      <c r="E475" s="3"/>
      <c r="G475" s="3"/>
      <c r="I475" s="3"/>
      <c r="K475" s="3"/>
      <c r="M475" s="3"/>
      <c r="O475" s="3"/>
      <c r="Q475" s="3"/>
      <c r="S475" s="3"/>
      <c r="U475" s="3"/>
      <c r="V475" s="3"/>
      <c r="W475" s="3"/>
      <c r="X475" s="3"/>
      <c r="Y475" s="3"/>
    </row>
    <row r="476" spans="3:25" x14ac:dyDescent="0.2">
      <c r="C476" s="3"/>
      <c r="E476" s="3"/>
      <c r="G476" s="3"/>
      <c r="I476" s="3"/>
      <c r="K476" s="3"/>
      <c r="M476" s="3"/>
      <c r="O476" s="3"/>
      <c r="Q476" s="3"/>
      <c r="S476" s="3"/>
      <c r="U476" s="3"/>
      <c r="V476" s="3"/>
      <c r="W476" s="3"/>
      <c r="X476" s="3"/>
      <c r="Y476" s="3"/>
    </row>
    <row r="477" spans="3:25" x14ac:dyDescent="0.2">
      <c r="C477" s="3"/>
      <c r="E477" s="3"/>
      <c r="G477" s="3"/>
      <c r="I477" s="3"/>
      <c r="K477" s="3"/>
      <c r="M477" s="3"/>
      <c r="O477" s="3"/>
      <c r="Q477" s="3"/>
      <c r="S477" s="3"/>
      <c r="U477" s="3"/>
      <c r="V477" s="3"/>
      <c r="W477" s="3"/>
      <c r="X477" s="3"/>
      <c r="Y477" s="3"/>
    </row>
    <row r="478" spans="3:25" x14ac:dyDescent="0.2">
      <c r="C478" s="3"/>
      <c r="E478" s="3"/>
      <c r="G478" s="3"/>
      <c r="I478" s="3"/>
      <c r="K478" s="3"/>
      <c r="M478" s="3"/>
      <c r="O478" s="3"/>
      <c r="Q478" s="3"/>
      <c r="S478" s="3"/>
      <c r="U478" s="3"/>
      <c r="V478" s="3"/>
      <c r="W478" s="3"/>
      <c r="X478" s="3"/>
      <c r="Y478" s="3"/>
    </row>
    <row r="479" spans="3:25" x14ac:dyDescent="0.2">
      <c r="C479" s="3"/>
      <c r="E479" s="3"/>
      <c r="G479" s="3"/>
      <c r="I479" s="3"/>
      <c r="K479" s="3"/>
      <c r="M479" s="3"/>
      <c r="O479" s="3"/>
      <c r="Q479" s="3"/>
      <c r="S479" s="3"/>
      <c r="U479" s="3"/>
      <c r="V479" s="3"/>
      <c r="W479" s="3"/>
      <c r="X479" s="3"/>
      <c r="Y479" s="3"/>
    </row>
    <row r="480" spans="3:25" x14ac:dyDescent="0.2">
      <c r="C480" s="3"/>
      <c r="E480" s="3"/>
      <c r="G480" s="3"/>
      <c r="I480" s="3"/>
      <c r="K480" s="3"/>
      <c r="M480" s="3"/>
      <c r="O480" s="3"/>
      <c r="Q480" s="3"/>
      <c r="S480" s="3"/>
      <c r="U480" s="3"/>
      <c r="V480" s="3"/>
      <c r="W480" s="3"/>
      <c r="X480" s="3"/>
      <c r="Y480" s="3"/>
    </row>
    <row r="481" spans="3:25" x14ac:dyDescent="0.2">
      <c r="C481" s="3"/>
      <c r="E481" s="3"/>
      <c r="G481" s="3"/>
      <c r="I481" s="3"/>
      <c r="K481" s="3"/>
      <c r="M481" s="3"/>
      <c r="O481" s="3"/>
      <c r="Q481" s="3"/>
      <c r="S481" s="3"/>
      <c r="U481" s="3"/>
      <c r="V481" s="3"/>
      <c r="W481" s="3"/>
      <c r="X481" s="3"/>
      <c r="Y481" s="3"/>
    </row>
    <row r="482" spans="3:25" x14ac:dyDescent="0.2">
      <c r="C482" s="3"/>
      <c r="E482" s="3"/>
      <c r="G482" s="3"/>
      <c r="I482" s="3"/>
      <c r="K482" s="3"/>
      <c r="M482" s="3"/>
      <c r="O482" s="3"/>
      <c r="Q482" s="3"/>
      <c r="S482" s="3"/>
      <c r="U482" s="3"/>
      <c r="V482" s="3"/>
      <c r="W482" s="3"/>
      <c r="X482" s="3"/>
      <c r="Y482" s="3"/>
    </row>
    <row r="483" spans="3:25" x14ac:dyDescent="0.2">
      <c r="C483" s="3"/>
      <c r="E483" s="3"/>
      <c r="G483" s="3"/>
      <c r="I483" s="3"/>
      <c r="K483" s="3"/>
      <c r="M483" s="3"/>
      <c r="O483" s="3"/>
      <c r="Q483" s="3"/>
      <c r="S483" s="3"/>
      <c r="U483" s="3"/>
      <c r="V483" s="3"/>
      <c r="W483" s="3"/>
      <c r="X483" s="3"/>
      <c r="Y483" s="3"/>
    </row>
    <row r="484" spans="3:25" x14ac:dyDescent="0.2">
      <c r="C484" s="3"/>
      <c r="E484" s="3"/>
      <c r="G484" s="3"/>
      <c r="I484" s="3"/>
      <c r="K484" s="3"/>
      <c r="M484" s="3"/>
      <c r="O484" s="3"/>
      <c r="Q484" s="3"/>
      <c r="S484" s="3"/>
      <c r="U484" s="3"/>
      <c r="V484" s="3"/>
      <c r="W484" s="3"/>
      <c r="X484" s="3"/>
      <c r="Y484" s="3"/>
    </row>
    <row r="485" spans="3:25" x14ac:dyDescent="0.2">
      <c r="C485" s="3"/>
      <c r="E485" s="3"/>
      <c r="G485" s="3"/>
      <c r="I485" s="3"/>
      <c r="K485" s="3"/>
      <c r="M485" s="3"/>
      <c r="O485" s="3"/>
      <c r="Q485" s="3"/>
      <c r="S485" s="3"/>
      <c r="U485" s="3"/>
      <c r="V485" s="3"/>
      <c r="W485" s="3"/>
      <c r="X485" s="3"/>
      <c r="Y485" s="3"/>
    </row>
    <row r="486" spans="3:25" x14ac:dyDescent="0.2">
      <c r="C486" s="3"/>
      <c r="E486" s="3"/>
      <c r="G486" s="3"/>
      <c r="I486" s="3"/>
      <c r="K486" s="3"/>
      <c r="M486" s="3"/>
      <c r="O486" s="3"/>
      <c r="Q486" s="3"/>
      <c r="S486" s="3"/>
      <c r="U486" s="3"/>
      <c r="V486" s="3"/>
      <c r="W486" s="3"/>
      <c r="X486" s="3"/>
      <c r="Y486" s="3"/>
    </row>
    <row r="487" spans="3:25" x14ac:dyDescent="0.2">
      <c r="C487" s="3"/>
      <c r="E487" s="3"/>
      <c r="G487" s="3"/>
      <c r="I487" s="3"/>
      <c r="K487" s="3"/>
      <c r="M487" s="3"/>
      <c r="O487" s="3"/>
      <c r="Q487" s="3"/>
      <c r="S487" s="3"/>
      <c r="U487" s="3"/>
      <c r="V487" s="3"/>
      <c r="W487" s="3"/>
      <c r="X487" s="3"/>
      <c r="Y487" s="3"/>
    </row>
    <row r="488" spans="3:25" x14ac:dyDescent="0.2">
      <c r="C488" s="3"/>
      <c r="E488" s="3"/>
      <c r="G488" s="3"/>
      <c r="I488" s="3"/>
      <c r="K488" s="3"/>
      <c r="M488" s="3"/>
      <c r="O488" s="3"/>
      <c r="Q488" s="3"/>
      <c r="S488" s="3"/>
      <c r="U488" s="3"/>
      <c r="V488" s="3"/>
      <c r="W488" s="3"/>
      <c r="X488" s="3"/>
      <c r="Y488" s="3"/>
    </row>
    <row r="489" spans="3:25" x14ac:dyDescent="0.2">
      <c r="C489" s="3"/>
      <c r="E489" s="3"/>
      <c r="G489" s="3"/>
      <c r="I489" s="3"/>
      <c r="K489" s="3"/>
      <c r="M489" s="3"/>
      <c r="O489" s="3"/>
      <c r="Q489" s="3"/>
      <c r="S489" s="3"/>
      <c r="U489" s="3"/>
      <c r="V489" s="3"/>
      <c r="W489" s="3"/>
      <c r="X489" s="3"/>
      <c r="Y489" s="3"/>
    </row>
    <row r="490" spans="3:25" x14ac:dyDescent="0.2">
      <c r="C490" s="3"/>
      <c r="E490" s="3"/>
      <c r="G490" s="3"/>
      <c r="I490" s="3"/>
      <c r="K490" s="3"/>
      <c r="M490" s="3"/>
      <c r="O490" s="3"/>
      <c r="Q490" s="3"/>
      <c r="S490" s="3"/>
      <c r="U490" s="3"/>
      <c r="V490" s="3"/>
      <c r="W490" s="3"/>
      <c r="X490" s="3"/>
      <c r="Y490" s="3"/>
    </row>
    <row r="491" spans="3:25" x14ac:dyDescent="0.2">
      <c r="C491" s="3"/>
      <c r="E491" s="3"/>
      <c r="G491" s="3"/>
      <c r="I491" s="3"/>
      <c r="K491" s="3"/>
      <c r="M491" s="3"/>
      <c r="O491" s="3"/>
      <c r="Q491" s="3"/>
      <c r="S491" s="3"/>
      <c r="U491" s="3"/>
      <c r="V491" s="3"/>
      <c r="W491" s="3"/>
      <c r="X491" s="3"/>
      <c r="Y491" s="3"/>
    </row>
    <row r="492" spans="3:25" x14ac:dyDescent="0.2">
      <c r="C492" s="3"/>
      <c r="E492" s="3"/>
      <c r="G492" s="3"/>
      <c r="I492" s="3"/>
      <c r="K492" s="3"/>
      <c r="M492" s="3"/>
      <c r="O492" s="3"/>
      <c r="Q492" s="3"/>
      <c r="S492" s="3"/>
      <c r="U492" s="3"/>
      <c r="V492" s="3"/>
      <c r="W492" s="3"/>
      <c r="X492" s="3"/>
      <c r="Y492" s="3"/>
    </row>
    <row r="493" spans="3:25" x14ac:dyDescent="0.2">
      <c r="C493" s="3"/>
      <c r="E493" s="3"/>
      <c r="G493" s="3"/>
      <c r="I493" s="3"/>
      <c r="K493" s="3"/>
      <c r="M493" s="3"/>
      <c r="O493" s="3"/>
      <c r="Q493" s="3"/>
      <c r="S493" s="3"/>
      <c r="U493" s="3"/>
      <c r="V493" s="3"/>
      <c r="W493" s="3"/>
      <c r="X493" s="3"/>
      <c r="Y493" s="3"/>
    </row>
    <row r="494" spans="3:25" x14ac:dyDescent="0.2">
      <c r="C494" s="3"/>
      <c r="E494" s="3"/>
      <c r="G494" s="3"/>
      <c r="I494" s="3"/>
      <c r="K494" s="3"/>
      <c r="M494" s="3"/>
      <c r="O494" s="3"/>
      <c r="Q494" s="3"/>
      <c r="S494" s="3"/>
      <c r="U494" s="3"/>
      <c r="V494" s="3"/>
      <c r="W494" s="3"/>
      <c r="X494" s="3"/>
      <c r="Y494" s="3"/>
    </row>
    <row r="495" spans="3:25" x14ac:dyDescent="0.2">
      <c r="C495" s="3"/>
      <c r="E495" s="3"/>
      <c r="G495" s="3"/>
      <c r="I495" s="3"/>
      <c r="K495" s="3"/>
      <c r="M495" s="3"/>
      <c r="O495" s="3"/>
      <c r="Q495" s="3"/>
      <c r="S495" s="3"/>
      <c r="U495" s="3"/>
      <c r="V495" s="3"/>
      <c r="W495" s="3"/>
      <c r="X495" s="3"/>
      <c r="Y495" s="3"/>
    </row>
    <row r="496" spans="3:25" x14ac:dyDescent="0.2">
      <c r="C496" s="3"/>
      <c r="E496" s="3"/>
      <c r="G496" s="3"/>
      <c r="I496" s="3"/>
      <c r="K496" s="3"/>
      <c r="M496" s="3"/>
      <c r="O496" s="3"/>
      <c r="Q496" s="3"/>
      <c r="S496" s="3"/>
      <c r="U496" s="3"/>
      <c r="V496" s="3"/>
      <c r="W496" s="3"/>
      <c r="X496" s="3"/>
      <c r="Y496" s="3"/>
    </row>
    <row r="497" spans="3:25" x14ac:dyDescent="0.2">
      <c r="C497" s="3"/>
      <c r="E497" s="3"/>
      <c r="G497" s="3"/>
      <c r="I497" s="3"/>
      <c r="K497" s="3"/>
      <c r="M497" s="3"/>
      <c r="O497" s="3"/>
      <c r="Q497" s="3"/>
      <c r="S497" s="3"/>
      <c r="U497" s="3"/>
      <c r="V497" s="3"/>
      <c r="W497" s="3"/>
      <c r="X497" s="3"/>
      <c r="Y497" s="3"/>
    </row>
    <row r="498" spans="3:25" x14ac:dyDescent="0.2">
      <c r="C498" s="3"/>
      <c r="E498" s="3"/>
      <c r="G498" s="3"/>
      <c r="I498" s="3"/>
      <c r="K498" s="3"/>
      <c r="M498" s="3"/>
      <c r="O498" s="3"/>
      <c r="Q498" s="3"/>
      <c r="S498" s="3"/>
      <c r="U498" s="3"/>
      <c r="V498" s="3"/>
      <c r="W498" s="3"/>
      <c r="X498" s="3"/>
      <c r="Y498" s="3"/>
    </row>
    <row r="499" spans="3:25" x14ac:dyDescent="0.2">
      <c r="C499" s="3"/>
      <c r="E499" s="3"/>
      <c r="G499" s="3"/>
      <c r="I499" s="3"/>
      <c r="K499" s="3"/>
      <c r="M499" s="3"/>
      <c r="O499" s="3"/>
      <c r="Q499" s="3"/>
      <c r="S499" s="3"/>
      <c r="U499" s="3"/>
      <c r="V499" s="3"/>
      <c r="W499" s="3"/>
      <c r="X499" s="3"/>
      <c r="Y499" s="3"/>
    </row>
    <row r="500" spans="3:25" x14ac:dyDescent="0.2">
      <c r="C500" s="3"/>
      <c r="E500" s="3"/>
      <c r="G500" s="3"/>
      <c r="I500" s="3"/>
      <c r="K500" s="3"/>
      <c r="M500" s="3"/>
      <c r="O500" s="3"/>
      <c r="Q500" s="3"/>
      <c r="S500" s="3"/>
      <c r="U500" s="3"/>
      <c r="V500" s="3"/>
      <c r="W500" s="3"/>
      <c r="X500" s="3"/>
      <c r="Y500" s="3"/>
    </row>
    <row r="501" spans="3:25" x14ac:dyDescent="0.2">
      <c r="C501" s="3"/>
      <c r="E501" s="3"/>
      <c r="G501" s="3"/>
      <c r="I501" s="3"/>
      <c r="K501" s="3"/>
      <c r="M501" s="3"/>
      <c r="O501" s="3"/>
      <c r="Q501" s="3"/>
      <c r="S501" s="3"/>
      <c r="U501" s="3"/>
      <c r="V501" s="3"/>
      <c r="W501" s="3"/>
      <c r="X501" s="3"/>
      <c r="Y501" s="3"/>
    </row>
    <row r="502" spans="3:25" x14ac:dyDescent="0.2">
      <c r="C502" s="3"/>
      <c r="E502" s="3"/>
      <c r="G502" s="3"/>
      <c r="I502" s="3"/>
      <c r="K502" s="3"/>
      <c r="M502" s="3"/>
      <c r="O502" s="3"/>
      <c r="Q502" s="3"/>
      <c r="S502" s="3"/>
      <c r="U502" s="3"/>
      <c r="V502" s="3"/>
      <c r="W502" s="3"/>
      <c r="X502" s="3"/>
      <c r="Y502" s="3"/>
    </row>
    <row r="503" spans="3:25" x14ac:dyDescent="0.2">
      <c r="C503" s="3"/>
      <c r="E503" s="3"/>
      <c r="G503" s="3"/>
      <c r="I503" s="3"/>
      <c r="K503" s="3"/>
      <c r="M503" s="3"/>
      <c r="O503" s="3"/>
      <c r="Q503" s="3"/>
      <c r="S503" s="3"/>
      <c r="U503" s="3"/>
      <c r="V503" s="3"/>
      <c r="W503" s="3"/>
      <c r="X503" s="3"/>
      <c r="Y503" s="3"/>
    </row>
    <row r="504" spans="3:25" x14ac:dyDescent="0.2">
      <c r="C504" s="3"/>
      <c r="E504" s="3"/>
      <c r="G504" s="3"/>
      <c r="I504" s="3"/>
      <c r="K504" s="3"/>
      <c r="M504" s="3"/>
      <c r="O504" s="3"/>
      <c r="Q504" s="3"/>
      <c r="S504" s="3"/>
      <c r="U504" s="3"/>
      <c r="V504" s="3"/>
      <c r="W504" s="3"/>
      <c r="X504" s="3"/>
      <c r="Y504" s="3"/>
    </row>
    <row r="505" spans="3:25" x14ac:dyDescent="0.2">
      <c r="C505" s="3"/>
      <c r="E505" s="3"/>
      <c r="G505" s="3"/>
      <c r="I505" s="3"/>
      <c r="K505" s="3"/>
      <c r="M505" s="3"/>
      <c r="O505" s="3"/>
      <c r="Q505" s="3"/>
      <c r="S505" s="3"/>
      <c r="U505" s="3"/>
      <c r="V505" s="3"/>
      <c r="W505" s="3"/>
      <c r="X505" s="3"/>
      <c r="Y505" s="3"/>
    </row>
    <row r="506" spans="3:25" x14ac:dyDescent="0.2">
      <c r="C506" s="3"/>
      <c r="E506" s="3"/>
      <c r="G506" s="3"/>
      <c r="I506" s="3"/>
      <c r="K506" s="3"/>
      <c r="M506" s="3"/>
      <c r="O506" s="3"/>
      <c r="Q506" s="3"/>
      <c r="S506" s="3"/>
      <c r="U506" s="3"/>
      <c r="V506" s="3"/>
      <c r="W506" s="3"/>
      <c r="X506" s="3"/>
      <c r="Y506" s="3"/>
    </row>
    <row r="507" spans="3:25" x14ac:dyDescent="0.2">
      <c r="C507" s="3"/>
      <c r="E507" s="3"/>
      <c r="G507" s="3"/>
      <c r="I507" s="3"/>
      <c r="K507" s="3"/>
      <c r="M507" s="3"/>
      <c r="O507" s="3"/>
      <c r="Q507" s="3"/>
      <c r="S507" s="3"/>
      <c r="U507" s="3"/>
      <c r="V507" s="3"/>
      <c r="W507" s="3"/>
      <c r="X507" s="3"/>
      <c r="Y507" s="3"/>
    </row>
    <row r="508" spans="3:25" x14ac:dyDescent="0.2">
      <c r="C508" s="3"/>
      <c r="E508" s="3"/>
      <c r="G508" s="3"/>
      <c r="I508" s="3"/>
      <c r="K508" s="3"/>
      <c r="M508" s="3"/>
      <c r="O508" s="3"/>
      <c r="Q508" s="3"/>
      <c r="S508" s="3"/>
      <c r="U508" s="3"/>
      <c r="V508" s="3"/>
      <c r="W508" s="3"/>
      <c r="X508" s="3"/>
      <c r="Y508" s="3"/>
    </row>
    <row r="509" spans="3:25" x14ac:dyDescent="0.2">
      <c r="C509" s="3"/>
      <c r="E509" s="3"/>
      <c r="G509" s="3"/>
      <c r="I509" s="3"/>
      <c r="K509" s="3"/>
      <c r="M509" s="3"/>
      <c r="O509" s="3"/>
      <c r="Q509" s="3"/>
      <c r="S509" s="3"/>
      <c r="U509" s="3"/>
      <c r="V509" s="3"/>
      <c r="W509" s="3"/>
      <c r="X509" s="3"/>
      <c r="Y509" s="3"/>
    </row>
    <row r="510" spans="3:25" x14ac:dyDescent="0.2">
      <c r="C510" s="3"/>
      <c r="E510" s="3"/>
      <c r="G510" s="3"/>
      <c r="I510" s="3"/>
      <c r="K510" s="3"/>
      <c r="M510" s="3"/>
      <c r="O510" s="3"/>
      <c r="Q510" s="3"/>
      <c r="S510" s="3"/>
      <c r="U510" s="3"/>
      <c r="V510" s="3"/>
      <c r="W510" s="3"/>
      <c r="X510" s="3"/>
      <c r="Y510" s="3"/>
    </row>
    <row r="511" spans="3:25" x14ac:dyDescent="0.2">
      <c r="C511" s="3"/>
      <c r="E511" s="3"/>
      <c r="G511" s="3"/>
      <c r="I511" s="3"/>
      <c r="K511" s="3"/>
      <c r="M511" s="3"/>
      <c r="O511" s="3"/>
      <c r="Q511" s="3"/>
      <c r="S511" s="3"/>
      <c r="U511" s="3"/>
      <c r="V511" s="3"/>
      <c r="W511" s="3"/>
      <c r="X511" s="3"/>
      <c r="Y511" s="3"/>
    </row>
    <row r="512" spans="3:25" x14ac:dyDescent="0.2">
      <c r="C512" s="3"/>
      <c r="E512" s="3"/>
      <c r="G512" s="3"/>
      <c r="I512" s="3"/>
      <c r="K512" s="3"/>
      <c r="M512" s="3"/>
      <c r="O512" s="3"/>
      <c r="Q512" s="3"/>
      <c r="S512" s="3"/>
      <c r="U512" s="3"/>
      <c r="V512" s="3"/>
      <c r="W512" s="3"/>
      <c r="X512" s="3"/>
      <c r="Y512" s="3"/>
    </row>
    <row r="513" spans="3:25" x14ac:dyDescent="0.2">
      <c r="C513" s="3"/>
      <c r="E513" s="3"/>
      <c r="G513" s="3"/>
      <c r="I513" s="3"/>
      <c r="K513" s="3"/>
      <c r="M513" s="3"/>
      <c r="O513" s="3"/>
      <c r="Q513" s="3"/>
      <c r="S513" s="3"/>
      <c r="U513" s="3"/>
      <c r="V513" s="3"/>
      <c r="W513" s="3"/>
      <c r="X513" s="3"/>
      <c r="Y513" s="3"/>
    </row>
    <row r="514" spans="3:25" x14ac:dyDescent="0.2">
      <c r="C514" s="3"/>
      <c r="E514" s="3"/>
      <c r="G514" s="3"/>
      <c r="I514" s="3"/>
      <c r="K514" s="3"/>
      <c r="M514" s="3"/>
      <c r="O514" s="3"/>
      <c r="Q514" s="3"/>
      <c r="S514" s="3"/>
      <c r="U514" s="3"/>
      <c r="V514" s="3"/>
      <c r="W514" s="3"/>
      <c r="X514" s="3"/>
      <c r="Y514" s="3"/>
    </row>
    <row r="515" spans="3:25" x14ac:dyDescent="0.2">
      <c r="C515" s="3"/>
      <c r="E515" s="3"/>
      <c r="G515" s="3"/>
      <c r="I515" s="3"/>
      <c r="K515" s="3"/>
      <c r="M515" s="3"/>
      <c r="O515" s="3"/>
      <c r="Q515" s="3"/>
      <c r="S515" s="3"/>
      <c r="U515" s="3"/>
      <c r="V515" s="3"/>
      <c r="W515" s="3"/>
      <c r="X515" s="3"/>
      <c r="Y515" s="3"/>
    </row>
    <row r="516" spans="3:25" x14ac:dyDescent="0.2">
      <c r="C516" s="3"/>
      <c r="E516" s="3"/>
      <c r="G516" s="3"/>
      <c r="I516" s="3"/>
      <c r="K516" s="3"/>
      <c r="M516" s="3"/>
      <c r="O516" s="3"/>
      <c r="Q516" s="3"/>
      <c r="S516" s="3"/>
      <c r="U516" s="3"/>
      <c r="V516" s="3"/>
      <c r="W516" s="3"/>
      <c r="X516" s="3"/>
      <c r="Y516" s="3"/>
    </row>
    <row r="517" spans="3:25" x14ac:dyDescent="0.2">
      <c r="C517" s="3"/>
      <c r="E517" s="3"/>
      <c r="G517" s="3"/>
      <c r="I517" s="3"/>
      <c r="K517" s="3"/>
      <c r="M517" s="3"/>
      <c r="O517" s="3"/>
      <c r="Q517" s="3"/>
      <c r="S517" s="3"/>
      <c r="U517" s="3"/>
      <c r="V517" s="3"/>
      <c r="W517" s="3"/>
      <c r="X517" s="3"/>
      <c r="Y517" s="3"/>
    </row>
    <row r="518" spans="3:25" x14ac:dyDescent="0.2">
      <c r="C518" s="3"/>
      <c r="E518" s="3"/>
      <c r="G518" s="3"/>
      <c r="I518" s="3"/>
      <c r="K518" s="3"/>
      <c r="M518" s="3"/>
      <c r="O518" s="3"/>
      <c r="Q518" s="3"/>
      <c r="S518" s="3"/>
      <c r="U518" s="3"/>
      <c r="V518" s="3"/>
      <c r="W518" s="3"/>
      <c r="X518" s="3"/>
      <c r="Y518" s="3"/>
    </row>
    <row r="519" spans="3:25" x14ac:dyDescent="0.2">
      <c r="C519" s="3"/>
      <c r="E519" s="3"/>
      <c r="G519" s="3"/>
      <c r="I519" s="3"/>
      <c r="K519" s="3"/>
      <c r="M519" s="3"/>
      <c r="O519" s="3"/>
      <c r="Q519" s="3"/>
      <c r="S519" s="3"/>
      <c r="U519" s="3"/>
      <c r="V519" s="3"/>
      <c r="W519" s="3"/>
      <c r="X519" s="3"/>
      <c r="Y519" s="3"/>
    </row>
    <row r="520" spans="3:25" x14ac:dyDescent="0.2">
      <c r="C520" s="3"/>
      <c r="E520" s="3"/>
      <c r="G520" s="3"/>
      <c r="I520" s="3"/>
      <c r="K520" s="3"/>
      <c r="M520" s="3"/>
      <c r="O520" s="3"/>
      <c r="Q520" s="3"/>
      <c r="S520" s="3"/>
      <c r="U520" s="3"/>
      <c r="V520" s="3"/>
      <c r="W520" s="3"/>
      <c r="X520" s="3"/>
      <c r="Y520" s="3"/>
    </row>
    <row r="521" spans="3:25" x14ac:dyDescent="0.2">
      <c r="C521" s="3"/>
      <c r="E521" s="3"/>
      <c r="G521" s="3"/>
      <c r="I521" s="3"/>
      <c r="K521" s="3"/>
      <c r="M521" s="3"/>
      <c r="O521" s="3"/>
      <c r="Q521" s="3"/>
      <c r="S521" s="3"/>
      <c r="U521" s="3"/>
      <c r="V521" s="3"/>
      <c r="W521" s="3"/>
      <c r="X521" s="3"/>
      <c r="Y521" s="3"/>
    </row>
    <row r="522" spans="3:25" x14ac:dyDescent="0.2">
      <c r="C522" s="3"/>
      <c r="E522" s="3"/>
      <c r="G522" s="3"/>
      <c r="I522" s="3"/>
      <c r="K522" s="3"/>
      <c r="M522" s="3"/>
      <c r="O522" s="3"/>
      <c r="Q522" s="3"/>
      <c r="S522" s="3"/>
      <c r="U522" s="3"/>
      <c r="V522" s="3"/>
      <c r="W522" s="3"/>
      <c r="X522" s="3"/>
      <c r="Y522" s="3"/>
    </row>
    <row r="523" spans="3:25" x14ac:dyDescent="0.2">
      <c r="C523" s="3"/>
      <c r="E523" s="3"/>
      <c r="G523" s="3"/>
      <c r="I523" s="3"/>
      <c r="K523" s="3"/>
      <c r="M523" s="3"/>
      <c r="O523" s="3"/>
      <c r="Q523" s="3"/>
      <c r="S523" s="3"/>
      <c r="U523" s="3"/>
      <c r="V523" s="3"/>
      <c r="W523" s="3"/>
      <c r="X523" s="3"/>
      <c r="Y523" s="3"/>
    </row>
    <row r="524" spans="3:25" x14ac:dyDescent="0.2">
      <c r="C524" s="3"/>
      <c r="E524" s="3"/>
      <c r="G524" s="3"/>
      <c r="I524" s="3"/>
      <c r="K524" s="3"/>
      <c r="M524" s="3"/>
      <c r="O524" s="3"/>
      <c r="Q524" s="3"/>
      <c r="S524" s="3"/>
      <c r="U524" s="3"/>
      <c r="V524" s="3"/>
      <c r="W524" s="3"/>
      <c r="X524" s="3"/>
      <c r="Y524" s="3"/>
    </row>
    <row r="525" spans="3:25" x14ac:dyDescent="0.2">
      <c r="C525" s="3"/>
      <c r="E525" s="3"/>
      <c r="G525" s="3"/>
      <c r="I525" s="3"/>
      <c r="K525" s="3"/>
      <c r="M525" s="3"/>
      <c r="O525" s="3"/>
      <c r="Q525" s="3"/>
      <c r="S525" s="3"/>
      <c r="U525" s="3"/>
      <c r="V525" s="3"/>
      <c r="W525" s="3"/>
      <c r="X525" s="3"/>
      <c r="Y525" s="3"/>
    </row>
    <row r="526" spans="3:25" x14ac:dyDescent="0.2">
      <c r="C526" s="3"/>
      <c r="E526" s="3"/>
      <c r="G526" s="3"/>
      <c r="I526" s="3"/>
      <c r="K526" s="3"/>
      <c r="M526" s="3"/>
      <c r="O526" s="3"/>
      <c r="Q526" s="3"/>
      <c r="S526" s="3"/>
      <c r="U526" s="3"/>
      <c r="V526" s="3"/>
      <c r="W526" s="3"/>
      <c r="X526" s="3"/>
      <c r="Y526" s="3"/>
    </row>
    <row r="527" spans="3:25" x14ac:dyDescent="0.2">
      <c r="C527" s="3"/>
      <c r="E527" s="3"/>
      <c r="G527" s="3"/>
      <c r="I527" s="3"/>
      <c r="K527" s="3"/>
      <c r="M527" s="3"/>
      <c r="O527" s="3"/>
      <c r="Q527" s="3"/>
      <c r="S527" s="3"/>
      <c r="U527" s="3"/>
      <c r="V527" s="3"/>
      <c r="W527" s="3"/>
      <c r="X527" s="3"/>
      <c r="Y527" s="3"/>
    </row>
    <row r="528" spans="3:25" x14ac:dyDescent="0.2">
      <c r="C528" s="3"/>
      <c r="E528" s="3"/>
      <c r="G528" s="3"/>
      <c r="I528" s="3"/>
      <c r="K528" s="3"/>
      <c r="M528" s="3"/>
      <c r="O528" s="3"/>
      <c r="Q528" s="3"/>
      <c r="S528" s="3"/>
      <c r="U528" s="3"/>
      <c r="V528" s="3"/>
      <c r="W528" s="3"/>
      <c r="X528" s="3"/>
      <c r="Y528" s="3"/>
    </row>
    <row r="529" spans="3:25" x14ac:dyDescent="0.2">
      <c r="C529" s="3"/>
      <c r="E529" s="3"/>
      <c r="G529" s="3"/>
      <c r="I529" s="3"/>
      <c r="K529" s="3"/>
      <c r="M529" s="3"/>
      <c r="O529" s="3"/>
      <c r="Q529" s="3"/>
      <c r="S529" s="3"/>
      <c r="U529" s="3"/>
      <c r="V529" s="3"/>
      <c r="W529" s="3"/>
      <c r="X529" s="3"/>
      <c r="Y529" s="3"/>
    </row>
    <row r="530" spans="3:25" x14ac:dyDescent="0.2">
      <c r="C530" s="3"/>
      <c r="E530" s="3"/>
      <c r="G530" s="3"/>
      <c r="I530" s="3"/>
      <c r="K530" s="3"/>
      <c r="M530" s="3"/>
      <c r="O530" s="3"/>
      <c r="Q530" s="3"/>
      <c r="S530" s="3"/>
      <c r="U530" s="3"/>
      <c r="V530" s="3"/>
      <c r="W530" s="3"/>
      <c r="X530" s="3"/>
      <c r="Y530" s="3"/>
    </row>
    <row r="531" spans="3:25" x14ac:dyDescent="0.2">
      <c r="C531" s="3"/>
      <c r="E531" s="3"/>
      <c r="G531" s="3"/>
      <c r="I531" s="3"/>
      <c r="K531" s="3"/>
      <c r="M531" s="3"/>
      <c r="O531" s="3"/>
      <c r="Q531" s="3"/>
      <c r="S531" s="3"/>
      <c r="U531" s="3"/>
      <c r="V531" s="3"/>
      <c r="W531" s="3"/>
      <c r="X531" s="3"/>
      <c r="Y531" s="3"/>
    </row>
    <row r="532" spans="3:25" x14ac:dyDescent="0.2">
      <c r="C532" s="3"/>
      <c r="E532" s="3"/>
      <c r="G532" s="3"/>
      <c r="I532" s="3"/>
      <c r="K532" s="3"/>
      <c r="M532" s="3"/>
      <c r="O532" s="3"/>
      <c r="Q532" s="3"/>
      <c r="S532" s="3"/>
      <c r="U532" s="3"/>
      <c r="V532" s="3"/>
      <c r="W532" s="3"/>
      <c r="X532" s="3"/>
      <c r="Y532" s="3"/>
    </row>
    <row r="533" spans="3:25" x14ac:dyDescent="0.2">
      <c r="C533" s="3"/>
      <c r="E533" s="3"/>
      <c r="G533" s="3"/>
      <c r="I533" s="3"/>
      <c r="K533" s="3"/>
      <c r="M533" s="3"/>
      <c r="O533" s="3"/>
      <c r="Q533" s="3"/>
      <c r="S533" s="3"/>
      <c r="U533" s="3"/>
      <c r="V533" s="3"/>
      <c r="W533" s="3"/>
      <c r="X533" s="3"/>
      <c r="Y533" s="3"/>
    </row>
    <row r="534" spans="3:25" x14ac:dyDescent="0.2">
      <c r="C534" s="3"/>
      <c r="E534" s="3"/>
      <c r="G534" s="3"/>
      <c r="I534" s="3"/>
      <c r="K534" s="3"/>
      <c r="M534" s="3"/>
      <c r="O534" s="3"/>
      <c r="Q534" s="3"/>
      <c r="S534" s="3"/>
      <c r="U534" s="3"/>
      <c r="V534" s="3"/>
      <c r="W534" s="3"/>
      <c r="X534" s="3"/>
      <c r="Y534" s="3"/>
    </row>
    <row r="535" spans="3:25" x14ac:dyDescent="0.2">
      <c r="C535" s="3"/>
      <c r="E535" s="3"/>
      <c r="G535" s="3"/>
      <c r="I535" s="3"/>
      <c r="K535" s="3"/>
      <c r="M535" s="3"/>
      <c r="O535" s="3"/>
      <c r="Q535" s="3"/>
      <c r="S535" s="3"/>
      <c r="U535" s="3"/>
      <c r="V535" s="3"/>
      <c r="W535" s="3"/>
      <c r="X535" s="3"/>
      <c r="Y535" s="3"/>
    </row>
    <row r="536" spans="3:25" x14ac:dyDescent="0.2">
      <c r="C536" s="3"/>
      <c r="E536" s="3"/>
      <c r="G536" s="3"/>
      <c r="I536" s="3"/>
      <c r="K536" s="3"/>
      <c r="M536" s="3"/>
      <c r="O536" s="3"/>
      <c r="Q536" s="3"/>
      <c r="S536" s="3"/>
      <c r="U536" s="3"/>
      <c r="V536" s="3"/>
      <c r="W536" s="3"/>
      <c r="X536" s="3"/>
      <c r="Y536" s="3"/>
    </row>
    <row r="537" spans="3:25" x14ac:dyDescent="0.2">
      <c r="C537" s="3"/>
      <c r="E537" s="3"/>
      <c r="G537" s="3"/>
      <c r="I537" s="3"/>
      <c r="K537" s="3"/>
      <c r="M537" s="3"/>
      <c r="O537" s="3"/>
      <c r="Q537" s="3"/>
      <c r="S537" s="3"/>
      <c r="U537" s="3"/>
      <c r="V537" s="3"/>
      <c r="W537" s="3"/>
      <c r="X537" s="3"/>
      <c r="Y537" s="3"/>
    </row>
    <row r="538" spans="3:25" x14ac:dyDescent="0.2">
      <c r="C538" s="3"/>
      <c r="E538" s="3"/>
      <c r="G538" s="3"/>
      <c r="I538" s="3"/>
      <c r="K538" s="3"/>
      <c r="M538" s="3"/>
      <c r="O538" s="3"/>
      <c r="Q538" s="3"/>
      <c r="S538" s="3"/>
      <c r="U538" s="3"/>
      <c r="V538" s="3"/>
      <c r="W538" s="3"/>
      <c r="X538" s="3"/>
      <c r="Y538" s="3"/>
    </row>
    <row r="539" spans="3:25" x14ac:dyDescent="0.2">
      <c r="C539" s="3"/>
      <c r="E539" s="3"/>
      <c r="G539" s="3"/>
      <c r="I539" s="3"/>
      <c r="K539" s="3"/>
      <c r="M539" s="3"/>
      <c r="O539" s="3"/>
      <c r="Q539" s="3"/>
      <c r="S539" s="3"/>
      <c r="U539" s="3"/>
      <c r="V539" s="3"/>
      <c r="W539" s="3"/>
      <c r="X539" s="3"/>
      <c r="Y539" s="3"/>
    </row>
    <row r="540" spans="3:25" x14ac:dyDescent="0.2">
      <c r="C540" s="3"/>
      <c r="E540" s="3"/>
      <c r="G540" s="3"/>
      <c r="I540" s="3"/>
      <c r="K540" s="3"/>
      <c r="M540" s="3"/>
      <c r="O540" s="3"/>
      <c r="Q540" s="3"/>
      <c r="S540" s="3"/>
      <c r="U540" s="3"/>
      <c r="V540" s="3"/>
      <c r="W540" s="3"/>
      <c r="X540" s="3"/>
      <c r="Y540" s="3"/>
    </row>
    <row r="541" spans="3:25" x14ac:dyDescent="0.2">
      <c r="C541" s="3"/>
      <c r="E541" s="3"/>
      <c r="G541" s="3"/>
      <c r="I541" s="3"/>
      <c r="K541" s="3"/>
      <c r="M541" s="3"/>
      <c r="O541" s="3"/>
      <c r="Q541" s="3"/>
      <c r="S541" s="3"/>
      <c r="U541" s="3"/>
      <c r="V541" s="3"/>
      <c r="W541" s="3"/>
      <c r="X541" s="3"/>
      <c r="Y541" s="3"/>
    </row>
    <row r="542" spans="3:25" x14ac:dyDescent="0.2">
      <c r="C542" s="3"/>
      <c r="E542" s="3"/>
      <c r="G542" s="3"/>
      <c r="I542" s="3"/>
      <c r="K542" s="3"/>
      <c r="M542" s="3"/>
      <c r="O542" s="3"/>
      <c r="Q542" s="3"/>
      <c r="S542" s="3"/>
      <c r="U542" s="3"/>
      <c r="V542" s="3"/>
      <c r="W542" s="3"/>
      <c r="X542" s="3"/>
      <c r="Y542" s="3"/>
    </row>
    <row r="543" spans="3:25" x14ac:dyDescent="0.2">
      <c r="C543" s="3"/>
      <c r="E543" s="3"/>
      <c r="G543" s="3"/>
      <c r="I543" s="3"/>
      <c r="K543" s="3"/>
      <c r="M543" s="3"/>
      <c r="O543" s="3"/>
      <c r="Q543" s="3"/>
      <c r="S543" s="3"/>
      <c r="U543" s="3"/>
      <c r="V543" s="3"/>
      <c r="W543" s="3"/>
      <c r="X543" s="3"/>
      <c r="Y543" s="3"/>
    </row>
    <row r="544" spans="3:25" x14ac:dyDescent="0.2">
      <c r="C544" s="3"/>
      <c r="E544" s="3"/>
      <c r="G544" s="3"/>
      <c r="I544" s="3"/>
      <c r="K544" s="3"/>
      <c r="M544" s="3"/>
      <c r="O544" s="3"/>
      <c r="Q544" s="3"/>
      <c r="S544" s="3"/>
      <c r="U544" s="3"/>
      <c r="V544" s="3"/>
      <c r="W544" s="3"/>
      <c r="X544" s="3"/>
      <c r="Y544" s="3"/>
    </row>
    <row r="545" spans="3:25" x14ac:dyDescent="0.2">
      <c r="C545" s="3"/>
      <c r="E545" s="3"/>
      <c r="G545" s="3"/>
      <c r="I545" s="3"/>
      <c r="K545" s="3"/>
      <c r="M545" s="3"/>
      <c r="O545" s="3"/>
      <c r="Q545" s="3"/>
      <c r="S545" s="3"/>
      <c r="U545" s="3"/>
      <c r="V545" s="3"/>
      <c r="W545" s="3"/>
      <c r="X545" s="3"/>
      <c r="Y545" s="3"/>
    </row>
    <row r="546" spans="3:25" x14ac:dyDescent="0.2">
      <c r="C546" s="3"/>
      <c r="E546" s="3"/>
      <c r="G546" s="3"/>
      <c r="I546" s="3"/>
      <c r="K546" s="3"/>
      <c r="M546" s="3"/>
      <c r="O546" s="3"/>
      <c r="Q546" s="3"/>
      <c r="S546" s="3"/>
      <c r="U546" s="3"/>
      <c r="V546" s="3"/>
      <c r="W546" s="3"/>
      <c r="X546" s="3"/>
      <c r="Y546" s="3"/>
    </row>
    <row r="547" spans="3:25" x14ac:dyDescent="0.2">
      <c r="C547" s="3"/>
      <c r="E547" s="3"/>
      <c r="G547" s="3"/>
      <c r="I547" s="3"/>
      <c r="K547" s="3"/>
      <c r="M547" s="3"/>
      <c r="O547" s="3"/>
      <c r="Q547" s="3"/>
      <c r="S547" s="3"/>
      <c r="U547" s="3"/>
      <c r="V547" s="3"/>
      <c r="W547" s="3"/>
      <c r="X547" s="3"/>
      <c r="Y547" s="3"/>
    </row>
    <row r="548" spans="3:25" x14ac:dyDescent="0.2">
      <c r="C548" s="3"/>
      <c r="E548" s="3"/>
      <c r="G548" s="3"/>
      <c r="I548" s="3"/>
      <c r="K548" s="3"/>
      <c r="M548" s="3"/>
      <c r="O548" s="3"/>
      <c r="Q548" s="3"/>
      <c r="S548" s="3"/>
      <c r="U548" s="3"/>
      <c r="V548" s="3"/>
      <c r="W548" s="3"/>
      <c r="X548" s="3"/>
      <c r="Y548" s="3"/>
    </row>
    <row r="549" spans="3:25" x14ac:dyDescent="0.2">
      <c r="C549" s="3"/>
      <c r="E549" s="3"/>
      <c r="G549" s="3"/>
      <c r="I549" s="3"/>
      <c r="K549" s="3"/>
      <c r="M549" s="3"/>
      <c r="O549" s="3"/>
      <c r="Q549" s="3"/>
      <c r="S549" s="3"/>
      <c r="U549" s="3"/>
      <c r="V549" s="3"/>
      <c r="W549" s="3"/>
      <c r="X549" s="3"/>
      <c r="Y549" s="3"/>
    </row>
    <row r="550" spans="3:25" x14ac:dyDescent="0.2">
      <c r="C550" s="3"/>
      <c r="E550" s="3"/>
      <c r="G550" s="3"/>
      <c r="I550" s="3"/>
      <c r="K550" s="3"/>
      <c r="M550" s="3"/>
      <c r="O550" s="3"/>
      <c r="Q550" s="3"/>
      <c r="S550" s="3"/>
      <c r="U550" s="3"/>
      <c r="V550" s="3"/>
      <c r="W550" s="3"/>
      <c r="X550" s="3"/>
      <c r="Y550" s="3"/>
    </row>
    <row r="551" spans="3:25" x14ac:dyDescent="0.2">
      <c r="C551" s="3"/>
      <c r="E551" s="3"/>
      <c r="G551" s="3"/>
      <c r="I551" s="3"/>
      <c r="K551" s="3"/>
      <c r="M551" s="3"/>
      <c r="O551" s="3"/>
      <c r="Q551" s="3"/>
      <c r="S551" s="3"/>
      <c r="U551" s="3"/>
      <c r="V551" s="3"/>
      <c r="W551" s="3"/>
      <c r="X551" s="3"/>
      <c r="Y551" s="3"/>
    </row>
    <row r="552" spans="3:25" x14ac:dyDescent="0.2">
      <c r="C552" s="3"/>
      <c r="E552" s="3"/>
      <c r="G552" s="3"/>
      <c r="I552" s="3"/>
      <c r="K552" s="3"/>
      <c r="M552" s="3"/>
      <c r="O552" s="3"/>
      <c r="Q552" s="3"/>
      <c r="S552" s="3"/>
      <c r="U552" s="3"/>
      <c r="V552" s="3"/>
      <c r="W552" s="3"/>
      <c r="X552" s="3"/>
      <c r="Y552" s="3"/>
    </row>
    <row r="553" spans="3:25" x14ac:dyDescent="0.2">
      <c r="C553" s="3"/>
      <c r="E553" s="3"/>
      <c r="G553" s="3"/>
      <c r="I553" s="3"/>
      <c r="K553" s="3"/>
      <c r="M553" s="3"/>
      <c r="O553" s="3"/>
      <c r="Q553" s="3"/>
      <c r="S553" s="3"/>
      <c r="U553" s="3"/>
      <c r="V553" s="3"/>
      <c r="W553" s="3"/>
      <c r="X553" s="3"/>
      <c r="Y553" s="3"/>
    </row>
    <row r="554" spans="3:25" x14ac:dyDescent="0.2">
      <c r="C554" s="3"/>
      <c r="E554" s="3"/>
      <c r="G554" s="3"/>
      <c r="I554" s="3"/>
      <c r="K554" s="3"/>
      <c r="M554" s="3"/>
      <c r="O554" s="3"/>
      <c r="Q554" s="3"/>
      <c r="S554" s="3"/>
      <c r="U554" s="3"/>
      <c r="V554" s="3"/>
      <c r="W554" s="3"/>
      <c r="X554" s="3"/>
      <c r="Y554" s="3"/>
    </row>
    <row r="555" spans="3:25" x14ac:dyDescent="0.2">
      <c r="C555" s="3"/>
      <c r="E555" s="3"/>
      <c r="G555" s="3"/>
      <c r="I555" s="3"/>
      <c r="K555" s="3"/>
      <c r="M555" s="3"/>
      <c r="O555" s="3"/>
      <c r="Q555" s="3"/>
      <c r="S555" s="3"/>
      <c r="U555" s="3"/>
      <c r="V555" s="3"/>
      <c r="W555" s="3"/>
      <c r="X555" s="3"/>
      <c r="Y555" s="3"/>
    </row>
    <row r="556" spans="3:25" x14ac:dyDescent="0.2">
      <c r="C556" s="3"/>
      <c r="E556" s="3"/>
      <c r="G556" s="3"/>
      <c r="I556" s="3"/>
      <c r="K556" s="3"/>
      <c r="M556" s="3"/>
      <c r="O556" s="3"/>
      <c r="Q556" s="3"/>
      <c r="S556" s="3"/>
      <c r="U556" s="3"/>
      <c r="V556" s="3"/>
      <c r="W556" s="3"/>
      <c r="X556" s="3"/>
      <c r="Y556" s="3"/>
    </row>
    <row r="557" spans="3:25" x14ac:dyDescent="0.2">
      <c r="C557" s="3"/>
      <c r="E557" s="3"/>
      <c r="G557" s="3"/>
      <c r="I557" s="3"/>
      <c r="K557" s="3"/>
      <c r="M557" s="3"/>
      <c r="O557" s="3"/>
      <c r="Q557" s="3"/>
      <c r="S557" s="3"/>
      <c r="U557" s="3"/>
      <c r="V557" s="3"/>
      <c r="W557" s="3"/>
      <c r="X557" s="3"/>
      <c r="Y557" s="3"/>
    </row>
    <row r="558" spans="3:25" x14ac:dyDescent="0.2">
      <c r="C558" s="3"/>
      <c r="E558" s="3"/>
      <c r="G558" s="3"/>
      <c r="I558" s="3"/>
      <c r="K558" s="3"/>
      <c r="M558" s="3"/>
      <c r="O558" s="3"/>
      <c r="Q558" s="3"/>
      <c r="S558" s="3"/>
      <c r="U558" s="3"/>
      <c r="V558" s="3"/>
      <c r="W558" s="3"/>
      <c r="X558" s="3"/>
      <c r="Y558" s="3"/>
    </row>
    <row r="559" spans="3:25" x14ac:dyDescent="0.2">
      <c r="C559" s="3"/>
      <c r="E559" s="3"/>
      <c r="G559" s="3"/>
      <c r="I559" s="3"/>
      <c r="K559" s="3"/>
      <c r="M559" s="3"/>
      <c r="O559" s="3"/>
      <c r="Q559" s="3"/>
      <c r="S559" s="3"/>
      <c r="U559" s="3"/>
      <c r="V559" s="3"/>
      <c r="W559" s="3"/>
      <c r="X559" s="3"/>
      <c r="Y559" s="3"/>
    </row>
    <row r="560" spans="3:25" x14ac:dyDescent="0.2">
      <c r="C560" s="3"/>
      <c r="E560" s="3"/>
      <c r="G560" s="3"/>
      <c r="I560" s="3"/>
      <c r="K560" s="3"/>
      <c r="M560" s="3"/>
      <c r="O560" s="3"/>
      <c r="Q560" s="3"/>
      <c r="S560" s="3"/>
      <c r="U560" s="3"/>
      <c r="V560" s="3"/>
      <c r="W560" s="3"/>
      <c r="X560" s="3"/>
      <c r="Y560" s="3"/>
    </row>
    <row r="561" spans="3:25" x14ac:dyDescent="0.2">
      <c r="C561" s="3"/>
      <c r="E561" s="3"/>
      <c r="G561" s="3"/>
      <c r="I561" s="3"/>
      <c r="K561" s="3"/>
      <c r="M561" s="3"/>
      <c r="O561" s="3"/>
      <c r="Q561" s="3"/>
      <c r="S561" s="3"/>
      <c r="U561" s="3"/>
      <c r="V561" s="3"/>
      <c r="W561" s="3"/>
      <c r="X561" s="3"/>
      <c r="Y561" s="3"/>
    </row>
    <row r="562" spans="3:25" x14ac:dyDescent="0.2">
      <c r="C562" s="3"/>
      <c r="E562" s="3"/>
      <c r="G562" s="3"/>
      <c r="I562" s="3"/>
      <c r="K562" s="3"/>
      <c r="M562" s="3"/>
      <c r="O562" s="3"/>
      <c r="Q562" s="3"/>
      <c r="S562" s="3"/>
      <c r="U562" s="3"/>
      <c r="V562" s="3"/>
      <c r="W562" s="3"/>
      <c r="X562" s="3"/>
      <c r="Y562" s="3"/>
    </row>
    <row r="563" spans="3:25" x14ac:dyDescent="0.2">
      <c r="C563" s="3"/>
      <c r="E563" s="3"/>
      <c r="G563" s="3"/>
      <c r="I563" s="3"/>
      <c r="K563" s="3"/>
      <c r="M563" s="3"/>
      <c r="O563" s="3"/>
      <c r="Q563" s="3"/>
      <c r="S563" s="3"/>
      <c r="U563" s="3"/>
      <c r="V563" s="3"/>
      <c r="W563" s="3"/>
      <c r="X563" s="3"/>
      <c r="Y563" s="3"/>
    </row>
    <row r="564" spans="3:25" x14ac:dyDescent="0.2">
      <c r="C564" s="3"/>
      <c r="E564" s="3"/>
      <c r="G564" s="3"/>
      <c r="I564" s="3"/>
      <c r="K564" s="3"/>
      <c r="M564" s="3"/>
      <c r="O564" s="3"/>
      <c r="Q564" s="3"/>
      <c r="S564" s="3"/>
      <c r="U564" s="3"/>
      <c r="V564" s="3"/>
      <c r="W564" s="3"/>
      <c r="X564" s="3"/>
      <c r="Y564" s="3"/>
    </row>
    <row r="565" spans="3:25" x14ac:dyDescent="0.2">
      <c r="C565" s="3"/>
      <c r="E565" s="3"/>
      <c r="G565" s="3"/>
      <c r="I565" s="3"/>
      <c r="K565" s="3"/>
      <c r="M565" s="3"/>
      <c r="O565" s="3"/>
      <c r="Q565" s="3"/>
      <c r="S565" s="3"/>
      <c r="U565" s="3"/>
      <c r="V565" s="3"/>
      <c r="W565" s="3"/>
      <c r="X565" s="3"/>
      <c r="Y565" s="3"/>
    </row>
    <row r="566" spans="3:25" x14ac:dyDescent="0.2">
      <c r="C566" s="3"/>
      <c r="E566" s="3"/>
      <c r="G566" s="3"/>
      <c r="I566" s="3"/>
      <c r="K566" s="3"/>
      <c r="M566" s="3"/>
      <c r="O566" s="3"/>
      <c r="Q566" s="3"/>
      <c r="S566" s="3"/>
      <c r="U566" s="3"/>
      <c r="V566" s="3"/>
      <c r="W566" s="3"/>
      <c r="X566" s="3"/>
      <c r="Y566" s="3"/>
    </row>
    <row r="567" spans="3:25" x14ac:dyDescent="0.2">
      <c r="C567" s="3"/>
      <c r="E567" s="3"/>
      <c r="G567" s="3"/>
      <c r="I567" s="3"/>
      <c r="K567" s="3"/>
      <c r="M567" s="3"/>
      <c r="O567" s="3"/>
      <c r="Q567" s="3"/>
      <c r="S567" s="3"/>
      <c r="U567" s="3"/>
      <c r="V567" s="3"/>
      <c r="W567" s="3"/>
      <c r="X567" s="3"/>
      <c r="Y567" s="3"/>
    </row>
    <row r="568" spans="3:25" x14ac:dyDescent="0.2">
      <c r="C568" s="3"/>
      <c r="E568" s="3"/>
      <c r="G568" s="3"/>
      <c r="I568" s="3"/>
      <c r="K568" s="3"/>
      <c r="M568" s="3"/>
      <c r="O568" s="3"/>
      <c r="Q568" s="3"/>
      <c r="S568" s="3"/>
      <c r="U568" s="3"/>
      <c r="V568" s="3"/>
      <c r="W568" s="3"/>
      <c r="X568" s="3"/>
      <c r="Y568" s="3"/>
    </row>
    <row r="569" spans="3:25" x14ac:dyDescent="0.2">
      <c r="C569" s="3"/>
      <c r="E569" s="3"/>
      <c r="G569" s="3"/>
      <c r="I569" s="3"/>
      <c r="K569" s="3"/>
      <c r="M569" s="3"/>
      <c r="O569" s="3"/>
      <c r="Q569" s="3"/>
      <c r="S569" s="3"/>
      <c r="U569" s="3"/>
      <c r="V569" s="3"/>
      <c r="W569" s="3"/>
      <c r="X569" s="3"/>
      <c r="Y569" s="3"/>
    </row>
    <row r="570" spans="3:25" x14ac:dyDescent="0.2">
      <c r="C570" s="3"/>
      <c r="E570" s="3"/>
      <c r="G570" s="3"/>
      <c r="I570" s="3"/>
      <c r="K570" s="3"/>
      <c r="M570" s="3"/>
      <c r="O570" s="3"/>
      <c r="Q570" s="3"/>
      <c r="S570" s="3"/>
      <c r="U570" s="3"/>
      <c r="V570" s="3"/>
      <c r="W570" s="3"/>
      <c r="X570" s="3"/>
      <c r="Y570" s="3"/>
    </row>
    <row r="571" spans="3:25" x14ac:dyDescent="0.2">
      <c r="C571" s="3"/>
      <c r="E571" s="3"/>
      <c r="G571" s="3"/>
      <c r="I571" s="3"/>
      <c r="K571" s="3"/>
      <c r="M571" s="3"/>
      <c r="O571" s="3"/>
      <c r="Q571" s="3"/>
      <c r="S571" s="3"/>
      <c r="U571" s="3"/>
      <c r="V571" s="3"/>
      <c r="W571" s="3"/>
      <c r="X571" s="3"/>
      <c r="Y571" s="3"/>
    </row>
    <row r="572" spans="3:25" x14ac:dyDescent="0.2">
      <c r="C572" s="3"/>
      <c r="E572" s="3"/>
      <c r="G572" s="3"/>
      <c r="I572" s="3"/>
      <c r="K572" s="3"/>
      <c r="M572" s="3"/>
      <c r="O572" s="3"/>
      <c r="Q572" s="3"/>
      <c r="S572" s="3"/>
      <c r="U572" s="3"/>
      <c r="V572" s="3"/>
      <c r="W572" s="3"/>
      <c r="X572" s="3"/>
      <c r="Y572" s="3"/>
    </row>
    <row r="573" spans="3:25" x14ac:dyDescent="0.2">
      <c r="C573" s="3"/>
      <c r="E573" s="3"/>
      <c r="G573" s="3"/>
      <c r="I573" s="3"/>
      <c r="K573" s="3"/>
      <c r="M573" s="3"/>
      <c r="O573" s="3"/>
      <c r="Q573" s="3"/>
      <c r="S573" s="3"/>
      <c r="U573" s="3"/>
      <c r="V573" s="3"/>
      <c r="W573" s="3"/>
      <c r="X573" s="3"/>
      <c r="Y573" s="3"/>
    </row>
    <row r="574" spans="3:25" x14ac:dyDescent="0.2">
      <c r="C574" s="3"/>
      <c r="E574" s="3"/>
      <c r="G574" s="3"/>
      <c r="I574" s="3"/>
      <c r="K574" s="3"/>
      <c r="M574" s="3"/>
      <c r="O574" s="3"/>
      <c r="Q574" s="3"/>
      <c r="S574" s="3"/>
      <c r="U574" s="3"/>
      <c r="V574" s="3"/>
      <c r="W574" s="3"/>
      <c r="X574" s="3"/>
      <c r="Y574" s="3"/>
    </row>
    <row r="575" spans="3:25" x14ac:dyDescent="0.2">
      <c r="C575" s="3"/>
      <c r="E575" s="3"/>
      <c r="G575" s="3"/>
      <c r="I575" s="3"/>
      <c r="K575" s="3"/>
      <c r="M575" s="3"/>
      <c r="O575" s="3"/>
      <c r="Q575" s="3"/>
      <c r="S575" s="3"/>
      <c r="U575" s="3"/>
      <c r="V575" s="3"/>
      <c r="W575" s="3"/>
      <c r="X575" s="3"/>
      <c r="Y575" s="3"/>
    </row>
    <row r="576" spans="3:25" x14ac:dyDescent="0.2">
      <c r="C576" s="3"/>
      <c r="E576" s="3"/>
      <c r="G576" s="3"/>
      <c r="I576" s="3"/>
      <c r="K576" s="3"/>
      <c r="M576" s="3"/>
      <c r="O576" s="3"/>
      <c r="Q576" s="3"/>
      <c r="S576" s="3"/>
      <c r="U576" s="3"/>
      <c r="V576" s="3"/>
      <c r="W576" s="3"/>
      <c r="X576" s="3"/>
      <c r="Y576" s="3"/>
    </row>
    <row r="577" spans="3:25" x14ac:dyDescent="0.2">
      <c r="C577" s="3"/>
      <c r="E577" s="3"/>
      <c r="G577" s="3"/>
      <c r="I577" s="3"/>
      <c r="K577" s="3"/>
      <c r="M577" s="3"/>
      <c r="O577" s="3"/>
      <c r="Q577" s="3"/>
      <c r="S577" s="3"/>
      <c r="U577" s="3"/>
      <c r="V577" s="3"/>
      <c r="W577" s="3"/>
      <c r="X577" s="3"/>
      <c r="Y577" s="3"/>
    </row>
    <row r="578" spans="3:25" x14ac:dyDescent="0.2">
      <c r="C578" s="3"/>
      <c r="E578" s="3"/>
      <c r="G578" s="3"/>
      <c r="I578" s="3"/>
      <c r="K578" s="3"/>
      <c r="M578" s="3"/>
      <c r="O578" s="3"/>
      <c r="Q578" s="3"/>
      <c r="S578" s="3"/>
      <c r="U578" s="3"/>
      <c r="V578" s="3"/>
      <c r="W578" s="3"/>
      <c r="X578" s="3"/>
      <c r="Y578" s="3"/>
    </row>
    <row r="579" spans="3:25" x14ac:dyDescent="0.2">
      <c r="C579" s="3"/>
      <c r="E579" s="3"/>
      <c r="G579" s="3"/>
      <c r="I579" s="3"/>
      <c r="K579" s="3"/>
      <c r="M579" s="3"/>
      <c r="O579" s="3"/>
      <c r="Q579" s="3"/>
      <c r="S579" s="3"/>
      <c r="U579" s="3"/>
      <c r="V579" s="3"/>
      <c r="W579" s="3"/>
      <c r="X579" s="3"/>
      <c r="Y579" s="3"/>
    </row>
    <row r="580" spans="3:25" x14ac:dyDescent="0.2">
      <c r="C580" s="3"/>
      <c r="E580" s="3"/>
      <c r="G580" s="3"/>
      <c r="I580" s="3"/>
      <c r="K580" s="3"/>
      <c r="M580" s="3"/>
      <c r="O580" s="3"/>
      <c r="Q580" s="3"/>
      <c r="S580" s="3"/>
      <c r="U580" s="3"/>
      <c r="V580" s="3"/>
      <c r="W580" s="3"/>
      <c r="X580" s="3"/>
      <c r="Y580" s="3"/>
    </row>
    <row r="581" spans="3:25" x14ac:dyDescent="0.2">
      <c r="C581" s="3"/>
      <c r="E581" s="3"/>
      <c r="G581" s="3"/>
      <c r="I581" s="3"/>
      <c r="K581" s="3"/>
      <c r="M581" s="3"/>
      <c r="O581" s="3"/>
      <c r="Q581" s="3"/>
      <c r="S581" s="3"/>
      <c r="U581" s="3"/>
      <c r="V581" s="3"/>
      <c r="W581" s="3"/>
      <c r="X581" s="3"/>
      <c r="Y581" s="3"/>
    </row>
    <row r="582" spans="3:25" x14ac:dyDescent="0.2">
      <c r="C582" s="3"/>
      <c r="E582" s="3"/>
      <c r="G582" s="3"/>
      <c r="I582" s="3"/>
      <c r="K582" s="3"/>
      <c r="M582" s="3"/>
      <c r="O582" s="3"/>
      <c r="Q582" s="3"/>
      <c r="S582" s="3"/>
      <c r="U582" s="3"/>
      <c r="V582" s="3"/>
      <c r="W582" s="3"/>
      <c r="X582" s="3"/>
      <c r="Y582" s="3"/>
    </row>
    <row r="583" spans="3:25" x14ac:dyDescent="0.2">
      <c r="C583" s="3"/>
      <c r="E583" s="3"/>
      <c r="G583" s="3"/>
      <c r="I583" s="3"/>
      <c r="K583" s="3"/>
      <c r="M583" s="3"/>
      <c r="O583" s="3"/>
      <c r="Q583" s="3"/>
      <c r="S583" s="3"/>
      <c r="U583" s="3"/>
      <c r="V583" s="3"/>
      <c r="W583" s="3"/>
      <c r="X583" s="3"/>
      <c r="Y583" s="3"/>
    </row>
    <row r="584" spans="3:25" x14ac:dyDescent="0.2">
      <c r="C584" s="3"/>
      <c r="E584" s="3"/>
      <c r="G584" s="3"/>
      <c r="I584" s="3"/>
      <c r="K584" s="3"/>
      <c r="M584" s="3"/>
      <c r="O584" s="3"/>
      <c r="Q584" s="3"/>
      <c r="S584" s="3"/>
      <c r="U584" s="3"/>
      <c r="V584" s="3"/>
      <c r="W584" s="3"/>
      <c r="X584" s="3"/>
      <c r="Y584" s="3"/>
    </row>
    <row r="585" spans="3:25" x14ac:dyDescent="0.2">
      <c r="C585" s="3"/>
      <c r="E585" s="3"/>
      <c r="G585" s="3"/>
      <c r="I585" s="3"/>
      <c r="K585" s="3"/>
      <c r="M585" s="3"/>
      <c r="O585" s="3"/>
      <c r="Q585" s="3"/>
      <c r="S585" s="3"/>
      <c r="U585" s="3"/>
      <c r="V585" s="3"/>
      <c r="W585" s="3"/>
      <c r="X585" s="3"/>
      <c r="Y585" s="3"/>
    </row>
    <row r="586" spans="3:25" x14ac:dyDescent="0.2">
      <c r="C586" s="3"/>
      <c r="E586" s="3"/>
      <c r="G586" s="3"/>
      <c r="I586" s="3"/>
      <c r="K586" s="3"/>
      <c r="M586" s="3"/>
      <c r="O586" s="3"/>
      <c r="Q586" s="3"/>
      <c r="S586" s="3"/>
      <c r="U586" s="3"/>
      <c r="V586" s="3"/>
      <c r="W586" s="3"/>
      <c r="X586" s="3"/>
      <c r="Y586" s="3"/>
    </row>
    <row r="587" spans="3:25" x14ac:dyDescent="0.2">
      <c r="C587" s="3"/>
      <c r="E587" s="3"/>
      <c r="G587" s="3"/>
      <c r="I587" s="3"/>
      <c r="K587" s="3"/>
      <c r="M587" s="3"/>
      <c r="O587" s="3"/>
      <c r="Q587" s="3"/>
      <c r="S587" s="3"/>
      <c r="U587" s="3"/>
      <c r="V587" s="3"/>
      <c r="W587" s="3"/>
      <c r="X587" s="3"/>
      <c r="Y587" s="3"/>
    </row>
    <row r="588" spans="3:25" x14ac:dyDescent="0.2">
      <c r="C588" s="3"/>
      <c r="E588" s="3"/>
      <c r="G588" s="3"/>
      <c r="I588" s="3"/>
      <c r="K588" s="3"/>
      <c r="M588" s="3"/>
      <c r="O588" s="3"/>
      <c r="Q588" s="3"/>
      <c r="S588" s="3"/>
      <c r="U588" s="3"/>
      <c r="V588" s="3"/>
      <c r="W588" s="3"/>
      <c r="X588" s="3"/>
      <c r="Y588" s="3"/>
    </row>
    <row r="589" spans="3:25" x14ac:dyDescent="0.2">
      <c r="C589" s="3"/>
      <c r="E589" s="3"/>
      <c r="G589" s="3"/>
      <c r="I589" s="3"/>
      <c r="K589" s="3"/>
      <c r="M589" s="3"/>
      <c r="O589" s="3"/>
      <c r="Q589" s="3"/>
      <c r="S589" s="3"/>
      <c r="U589" s="3"/>
      <c r="V589" s="3"/>
      <c r="W589" s="3"/>
      <c r="X589" s="3"/>
      <c r="Y589" s="3"/>
    </row>
    <row r="590" spans="3:25" x14ac:dyDescent="0.2">
      <c r="C590" s="3"/>
      <c r="E590" s="3"/>
      <c r="G590" s="3"/>
      <c r="I590" s="3"/>
      <c r="K590" s="3"/>
      <c r="M590" s="3"/>
      <c r="O590" s="3"/>
      <c r="Q590" s="3"/>
      <c r="S590" s="3"/>
      <c r="U590" s="3"/>
      <c r="V590" s="3"/>
      <c r="W590" s="3"/>
      <c r="X590" s="3"/>
      <c r="Y590" s="3"/>
    </row>
    <row r="591" spans="3:25" x14ac:dyDescent="0.2">
      <c r="C591" s="3"/>
      <c r="E591" s="3"/>
      <c r="G591" s="3"/>
      <c r="I591" s="3"/>
      <c r="K591" s="3"/>
      <c r="M591" s="3"/>
      <c r="O591" s="3"/>
      <c r="Q591" s="3"/>
      <c r="S591" s="3"/>
      <c r="U591" s="3"/>
      <c r="V591" s="3"/>
      <c r="W591" s="3"/>
      <c r="X591" s="3"/>
      <c r="Y591" s="3"/>
    </row>
    <row r="592" spans="3:25" x14ac:dyDescent="0.2">
      <c r="C592" s="3"/>
      <c r="E592" s="3"/>
      <c r="G592" s="3"/>
      <c r="I592" s="3"/>
      <c r="K592" s="3"/>
      <c r="M592" s="3"/>
      <c r="O592" s="3"/>
      <c r="Q592" s="3"/>
      <c r="S592" s="3"/>
      <c r="U592" s="3"/>
      <c r="V592" s="3"/>
      <c r="W592" s="3"/>
      <c r="X592" s="3"/>
      <c r="Y592" s="3"/>
    </row>
    <row r="593" spans="3:25" x14ac:dyDescent="0.2">
      <c r="C593" s="3"/>
      <c r="E593" s="3"/>
      <c r="G593" s="3"/>
      <c r="I593" s="3"/>
      <c r="K593" s="3"/>
      <c r="M593" s="3"/>
      <c r="O593" s="3"/>
      <c r="Q593" s="3"/>
      <c r="S593" s="3"/>
      <c r="U593" s="3"/>
      <c r="V593" s="3"/>
      <c r="W593" s="3"/>
      <c r="X593" s="3"/>
      <c r="Y593" s="3"/>
    </row>
    <row r="594" spans="3:25" x14ac:dyDescent="0.2">
      <c r="C594" s="3"/>
      <c r="E594" s="3"/>
      <c r="G594" s="3"/>
      <c r="I594" s="3"/>
      <c r="K594" s="3"/>
      <c r="M594" s="3"/>
      <c r="O594" s="3"/>
      <c r="Q594" s="3"/>
      <c r="S594" s="3"/>
      <c r="U594" s="3"/>
      <c r="V594" s="3"/>
      <c r="W594" s="3"/>
      <c r="X594" s="3"/>
      <c r="Y594" s="3"/>
    </row>
    <row r="595" spans="3:25" x14ac:dyDescent="0.2">
      <c r="C595" s="3"/>
      <c r="E595" s="3"/>
      <c r="G595" s="3"/>
      <c r="I595" s="3"/>
      <c r="K595" s="3"/>
      <c r="M595" s="3"/>
      <c r="O595" s="3"/>
      <c r="Q595" s="3"/>
      <c r="S595" s="3"/>
      <c r="U595" s="3"/>
      <c r="V595" s="3"/>
      <c r="W595" s="3"/>
      <c r="X595" s="3"/>
      <c r="Y595" s="3"/>
    </row>
    <row r="596" spans="3:25" x14ac:dyDescent="0.2">
      <c r="C596" s="3"/>
      <c r="E596" s="3"/>
      <c r="G596" s="3"/>
      <c r="I596" s="3"/>
      <c r="K596" s="3"/>
      <c r="M596" s="3"/>
      <c r="O596" s="3"/>
      <c r="Q596" s="3"/>
      <c r="S596" s="3"/>
      <c r="U596" s="3"/>
      <c r="V596" s="3"/>
      <c r="W596" s="3"/>
      <c r="X596" s="3"/>
      <c r="Y596" s="3"/>
    </row>
    <row r="597" spans="3:25" x14ac:dyDescent="0.2">
      <c r="C597" s="3"/>
      <c r="E597" s="3"/>
      <c r="G597" s="3"/>
      <c r="I597" s="3"/>
      <c r="K597" s="3"/>
      <c r="M597" s="3"/>
      <c r="O597" s="3"/>
      <c r="Q597" s="3"/>
      <c r="S597" s="3"/>
      <c r="U597" s="3"/>
      <c r="V597" s="3"/>
      <c r="W597" s="3"/>
      <c r="X597" s="3"/>
      <c r="Y597" s="3"/>
    </row>
    <row r="598" spans="3:25" x14ac:dyDescent="0.2">
      <c r="C598" s="3"/>
      <c r="E598" s="3"/>
      <c r="G598" s="3"/>
      <c r="I598" s="3"/>
      <c r="K598" s="3"/>
      <c r="M598" s="3"/>
      <c r="O598" s="3"/>
      <c r="Q598" s="3"/>
      <c r="S598" s="3"/>
      <c r="U598" s="3"/>
      <c r="V598" s="3"/>
      <c r="W598" s="3"/>
      <c r="X598" s="3"/>
      <c r="Y598" s="3"/>
    </row>
    <row r="599" spans="3:25" x14ac:dyDescent="0.2">
      <c r="C599" s="3"/>
      <c r="E599" s="3"/>
      <c r="G599" s="3"/>
      <c r="I599" s="3"/>
      <c r="K599" s="3"/>
      <c r="M599" s="3"/>
      <c r="O599" s="3"/>
      <c r="Q599" s="3"/>
      <c r="S599" s="3"/>
      <c r="U599" s="3"/>
      <c r="V599" s="3"/>
      <c r="W599" s="3"/>
      <c r="X599" s="3"/>
      <c r="Y599" s="3"/>
    </row>
    <row r="600" spans="3:25" x14ac:dyDescent="0.2">
      <c r="C600" s="3"/>
      <c r="E600" s="3"/>
      <c r="G600" s="3"/>
      <c r="I600" s="3"/>
      <c r="K600" s="3"/>
      <c r="M600" s="3"/>
      <c r="O600" s="3"/>
      <c r="Q600" s="3"/>
      <c r="S600" s="3"/>
      <c r="U600" s="3"/>
      <c r="V600" s="3"/>
      <c r="W600" s="3"/>
      <c r="X600" s="3"/>
      <c r="Y600" s="3"/>
    </row>
    <row r="601" spans="3:25" x14ac:dyDescent="0.2">
      <c r="C601" s="3"/>
      <c r="E601" s="3"/>
      <c r="G601" s="3"/>
      <c r="I601" s="3"/>
      <c r="K601" s="3"/>
      <c r="M601" s="3"/>
      <c r="O601" s="3"/>
      <c r="Q601" s="3"/>
      <c r="S601" s="3"/>
      <c r="U601" s="3"/>
      <c r="V601" s="3"/>
      <c r="W601" s="3"/>
      <c r="X601" s="3"/>
      <c r="Y601" s="3"/>
    </row>
    <row r="602" spans="3:25" x14ac:dyDescent="0.2">
      <c r="C602" s="3"/>
      <c r="E602" s="3"/>
      <c r="G602" s="3"/>
      <c r="I602" s="3"/>
      <c r="K602" s="3"/>
      <c r="M602" s="3"/>
      <c r="O602" s="3"/>
      <c r="Q602" s="3"/>
      <c r="S602" s="3"/>
      <c r="U602" s="3"/>
      <c r="V602" s="3"/>
      <c r="W602" s="3"/>
      <c r="X602" s="3"/>
      <c r="Y602" s="3"/>
    </row>
    <row r="603" spans="3:25" x14ac:dyDescent="0.2">
      <c r="C603" s="3"/>
      <c r="E603" s="3"/>
      <c r="G603" s="3"/>
      <c r="I603" s="3"/>
      <c r="K603" s="3"/>
      <c r="M603" s="3"/>
      <c r="O603" s="3"/>
      <c r="Q603" s="3"/>
      <c r="S603" s="3"/>
      <c r="U603" s="3"/>
      <c r="V603" s="3"/>
      <c r="W603" s="3"/>
      <c r="X603" s="3"/>
      <c r="Y603" s="3"/>
    </row>
    <row r="604" spans="3:25" x14ac:dyDescent="0.2">
      <c r="C604" s="3"/>
      <c r="E604" s="3"/>
      <c r="G604" s="3"/>
      <c r="I604" s="3"/>
      <c r="K604" s="3"/>
      <c r="M604" s="3"/>
      <c r="O604" s="3"/>
      <c r="Q604" s="3"/>
      <c r="S604" s="3"/>
      <c r="U604" s="3"/>
      <c r="V604" s="3"/>
      <c r="W604" s="3"/>
      <c r="X604" s="3"/>
      <c r="Y604" s="3"/>
    </row>
    <row r="605" spans="3:25" x14ac:dyDescent="0.2">
      <c r="C605" s="3"/>
      <c r="E605" s="3"/>
      <c r="G605" s="3"/>
      <c r="I605" s="3"/>
      <c r="K605" s="3"/>
      <c r="M605" s="3"/>
      <c r="O605" s="3"/>
      <c r="Q605" s="3"/>
      <c r="S605" s="3"/>
      <c r="U605" s="3"/>
      <c r="V605" s="3"/>
      <c r="W605" s="3"/>
      <c r="X605" s="3"/>
      <c r="Y605" s="3"/>
    </row>
    <row r="606" spans="3:25" x14ac:dyDescent="0.2">
      <c r="C606" s="3"/>
      <c r="E606" s="3"/>
      <c r="G606" s="3"/>
      <c r="I606" s="3"/>
      <c r="K606" s="3"/>
      <c r="M606" s="3"/>
      <c r="O606" s="3"/>
      <c r="Q606" s="3"/>
      <c r="S606" s="3"/>
      <c r="U606" s="3"/>
      <c r="V606" s="3"/>
      <c r="W606" s="3"/>
      <c r="X606" s="3"/>
      <c r="Y606" s="3"/>
    </row>
    <row r="607" spans="3:25" x14ac:dyDescent="0.2">
      <c r="C607" s="3"/>
      <c r="E607" s="3"/>
      <c r="G607" s="3"/>
      <c r="I607" s="3"/>
      <c r="K607" s="3"/>
      <c r="M607" s="3"/>
      <c r="O607" s="3"/>
      <c r="Q607" s="3"/>
      <c r="S607" s="3"/>
      <c r="U607" s="3"/>
      <c r="V607" s="3"/>
      <c r="W607" s="3"/>
      <c r="X607" s="3"/>
      <c r="Y607" s="3"/>
    </row>
    <row r="608" spans="3:25" x14ac:dyDescent="0.2">
      <c r="C608" s="3"/>
      <c r="E608" s="3"/>
      <c r="G608" s="3"/>
      <c r="I608" s="3"/>
      <c r="K608" s="3"/>
      <c r="M608" s="3"/>
      <c r="O608" s="3"/>
      <c r="Q608" s="3"/>
      <c r="S608" s="3"/>
      <c r="U608" s="3"/>
      <c r="V608" s="3"/>
      <c r="W608" s="3"/>
      <c r="X608" s="3"/>
      <c r="Y608" s="3"/>
    </row>
    <row r="609" spans="3:25" x14ac:dyDescent="0.2">
      <c r="C609" s="3"/>
      <c r="E609" s="3"/>
      <c r="G609" s="3"/>
      <c r="I609" s="3"/>
      <c r="K609" s="3"/>
      <c r="M609" s="3"/>
      <c r="O609" s="3"/>
      <c r="Q609" s="3"/>
      <c r="S609" s="3"/>
      <c r="U609" s="3"/>
      <c r="V609" s="3"/>
      <c r="W609" s="3"/>
      <c r="X609" s="3"/>
      <c r="Y609" s="3"/>
    </row>
    <row r="610" spans="3:25" x14ac:dyDescent="0.2">
      <c r="C610" s="3"/>
      <c r="E610" s="3"/>
      <c r="G610" s="3"/>
      <c r="I610" s="3"/>
      <c r="K610" s="3"/>
      <c r="M610" s="3"/>
      <c r="O610" s="3"/>
      <c r="Q610" s="3"/>
      <c r="S610" s="3"/>
      <c r="U610" s="3"/>
      <c r="V610" s="3"/>
      <c r="W610" s="3"/>
      <c r="X610" s="3"/>
      <c r="Y610" s="3"/>
    </row>
    <row r="611" spans="3:25" x14ac:dyDescent="0.2">
      <c r="C611" s="3"/>
      <c r="E611" s="3"/>
      <c r="G611" s="3"/>
      <c r="I611" s="3"/>
      <c r="K611" s="3"/>
      <c r="M611" s="3"/>
      <c r="O611" s="3"/>
      <c r="Q611" s="3"/>
      <c r="S611" s="3"/>
      <c r="U611" s="3"/>
      <c r="V611" s="3"/>
      <c r="W611" s="3"/>
      <c r="X611" s="3"/>
      <c r="Y611" s="3"/>
    </row>
    <row r="612" spans="3:25" x14ac:dyDescent="0.2">
      <c r="C612" s="3"/>
      <c r="E612" s="3"/>
      <c r="G612" s="3"/>
      <c r="I612" s="3"/>
      <c r="K612" s="3"/>
      <c r="M612" s="3"/>
      <c r="O612" s="3"/>
      <c r="Q612" s="3"/>
      <c r="S612" s="3"/>
      <c r="U612" s="3"/>
      <c r="V612" s="3"/>
      <c r="W612" s="3"/>
      <c r="X612" s="3"/>
      <c r="Y612" s="3"/>
    </row>
    <row r="613" spans="3:25" x14ac:dyDescent="0.2">
      <c r="C613" s="3"/>
      <c r="E613" s="3"/>
      <c r="G613" s="3"/>
      <c r="I613" s="3"/>
      <c r="K613" s="3"/>
      <c r="M613" s="3"/>
      <c r="O613" s="3"/>
      <c r="Q613" s="3"/>
      <c r="S613" s="3"/>
      <c r="U613" s="3"/>
      <c r="V613" s="3"/>
      <c r="W613" s="3"/>
      <c r="X613" s="3"/>
      <c r="Y613" s="3"/>
    </row>
    <row r="614" spans="3:25" x14ac:dyDescent="0.2">
      <c r="C614" s="3"/>
      <c r="E614" s="3"/>
      <c r="G614" s="3"/>
      <c r="I614" s="3"/>
      <c r="K614" s="3"/>
      <c r="M614" s="3"/>
      <c r="O614" s="3"/>
      <c r="Q614" s="3"/>
      <c r="S614" s="3"/>
      <c r="U614" s="3"/>
      <c r="V614" s="3"/>
      <c r="W614" s="3"/>
      <c r="X614" s="3"/>
      <c r="Y614" s="3"/>
    </row>
    <row r="615" spans="3:25" x14ac:dyDescent="0.2">
      <c r="C615" s="3"/>
      <c r="E615" s="3"/>
      <c r="G615" s="3"/>
      <c r="I615" s="3"/>
      <c r="K615" s="3"/>
      <c r="M615" s="3"/>
      <c r="O615" s="3"/>
      <c r="Q615" s="3"/>
      <c r="S615" s="3"/>
      <c r="U615" s="3"/>
      <c r="V615" s="3"/>
      <c r="W615" s="3"/>
      <c r="X615" s="3"/>
      <c r="Y615" s="3"/>
    </row>
    <row r="616" spans="3:25" x14ac:dyDescent="0.2">
      <c r="C616" s="3"/>
      <c r="E616" s="3"/>
      <c r="G616" s="3"/>
      <c r="I616" s="3"/>
      <c r="K616" s="3"/>
      <c r="M616" s="3"/>
      <c r="O616" s="3"/>
      <c r="Q616" s="3"/>
      <c r="S616" s="3"/>
      <c r="U616" s="3"/>
      <c r="V616" s="3"/>
      <c r="W616" s="3"/>
      <c r="X616" s="3"/>
      <c r="Y616" s="3"/>
    </row>
    <row r="617" spans="3:25" x14ac:dyDescent="0.2">
      <c r="C617" s="3"/>
      <c r="E617" s="3"/>
      <c r="G617" s="3"/>
      <c r="I617" s="3"/>
      <c r="K617" s="3"/>
      <c r="M617" s="3"/>
      <c r="O617" s="3"/>
      <c r="Q617" s="3"/>
      <c r="S617" s="3"/>
      <c r="U617" s="3"/>
      <c r="V617" s="3"/>
      <c r="W617" s="3"/>
      <c r="X617" s="3"/>
      <c r="Y617" s="3"/>
    </row>
    <row r="618" spans="3:25" x14ac:dyDescent="0.2">
      <c r="C618" s="3"/>
      <c r="E618" s="3"/>
      <c r="G618" s="3"/>
      <c r="I618" s="3"/>
      <c r="K618" s="3"/>
      <c r="M618" s="3"/>
      <c r="O618" s="3"/>
      <c r="Q618" s="3"/>
      <c r="S618" s="3"/>
      <c r="U618" s="3"/>
      <c r="V618" s="3"/>
      <c r="W618" s="3"/>
      <c r="X618" s="3"/>
      <c r="Y618" s="3"/>
    </row>
    <row r="619" spans="3:25" x14ac:dyDescent="0.2">
      <c r="C619" s="3"/>
      <c r="E619" s="3"/>
      <c r="G619" s="3"/>
      <c r="I619" s="3"/>
      <c r="K619" s="3"/>
      <c r="M619" s="3"/>
      <c r="O619" s="3"/>
      <c r="Q619" s="3"/>
      <c r="S619" s="3"/>
      <c r="U619" s="3"/>
      <c r="V619" s="3"/>
      <c r="W619" s="3"/>
      <c r="X619" s="3"/>
      <c r="Y619" s="3"/>
    </row>
    <row r="620" spans="3:25" x14ac:dyDescent="0.2">
      <c r="C620" s="3"/>
      <c r="E620" s="3"/>
      <c r="G620" s="3"/>
      <c r="I620" s="3"/>
      <c r="K620" s="3"/>
      <c r="M620" s="3"/>
      <c r="O620" s="3"/>
      <c r="Q620" s="3"/>
      <c r="S620" s="3"/>
      <c r="U620" s="3"/>
      <c r="V620" s="3"/>
      <c r="W620" s="3"/>
      <c r="X620" s="3"/>
      <c r="Y620" s="3"/>
    </row>
    <row r="621" spans="3:25" x14ac:dyDescent="0.2">
      <c r="C621" s="3"/>
      <c r="E621" s="3"/>
      <c r="G621" s="3"/>
      <c r="I621" s="3"/>
      <c r="K621" s="3"/>
      <c r="M621" s="3"/>
      <c r="O621" s="3"/>
      <c r="Q621" s="3"/>
      <c r="S621" s="3"/>
      <c r="U621" s="3"/>
      <c r="V621" s="3"/>
      <c r="W621" s="3"/>
      <c r="X621" s="3"/>
      <c r="Y621" s="3"/>
    </row>
    <row r="622" spans="3:25" x14ac:dyDescent="0.2">
      <c r="C622" s="3"/>
      <c r="E622" s="3"/>
      <c r="G622" s="3"/>
      <c r="I622" s="3"/>
      <c r="K622" s="3"/>
      <c r="M622" s="3"/>
      <c r="O622" s="3"/>
      <c r="Q622" s="3"/>
      <c r="S622" s="3"/>
      <c r="U622" s="3"/>
      <c r="V622" s="3"/>
      <c r="W622" s="3"/>
      <c r="X622" s="3"/>
      <c r="Y622" s="3"/>
    </row>
    <row r="623" spans="3:25" x14ac:dyDescent="0.2">
      <c r="C623" s="3"/>
      <c r="E623" s="3"/>
      <c r="G623" s="3"/>
      <c r="I623" s="3"/>
      <c r="K623" s="3"/>
      <c r="M623" s="3"/>
      <c r="O623" s="3"/>
      <c r="Q623" s="3"/>
      <c r="S623" s="3"/>
      <c r="U623" s="3"/>
      <c r="V623" s="3"/>
      <c r="W623" s="3"/>
      <c r="X623" s="3"/>
      <c r="Y623" s="3"/>
    </row>
    <row r="624" spans="3:25" x14ac:dyDescent="0.2">
      <c r="C624" s="3"/>
      <c r="E624" s="3"/>
      <c r="G624" s="3"/>
      <c r="I624" s="3"/>
      <c r="K624" s="3"/>
      <c r="M624" s="3"/>
      <c r="O624" s="3"/>
      <c r="Q624" s="3"/>
      <c r="S624" s="3"/>
      <c r="U624" s="3"/>
      <c r="V624" s="3"/>
      <c r="W624" s="3"/>
      <c r="X624" s="3"/>
      <c r="Y624" s="3"/>
    </row>
    <row r="625" spans="3:25" x14ac:dyDescent="0.2">
      <c r="C625" s="3"/>
      <c r="E625" s="3"/>
      <c r="G625" s="3"/>
      <c r="I625" s="3"/>
      <c r="K625" s="3"/>
      <c r="M625" s="3"/>
      <c r="O625" s="3"/>
      <c r="Q625" s="3"/>
      <c r="S625" s="3"/>
      <c r="U625" s="3"/>
      <c r="V625" s="3"/>
      <c r="W625" s="3"/>
      <c r="X625" s="3"/>
      <c r="Y625" s="3"/>
    </row>
    <row r="626" spans="3:25" x14ac:dyDescent="0.2">
      <c r="C626" s="3"/>
      <c r="E626" s="3"/>
      <c r="G626" s="3"/>
      <c r="I626" s="3"/>
      <c r="K626" s="3"/>
      <c r="M626" s="3"/>
      <c r="O626" s="3"/>
      <c r="Q626" s="3"/>
      <c r="S626" s="3"/>
      <c r="U626" s="3"/>
      <c r="V626" s="3"/>
      <c r="W626" s="3"/>
      <c r="X626" s="3"/>
      <c r="Y626" s="3"/>
    </row>
    <row r="627" spans="3:25" x14ac:dyDescent="0.2">
      <c r="C627" s="3"/>
      <c r="E627" s="3"/>
      <c r="G627" s="3"/>
      <c r="I627" s="3"/>
      <c r="K627" s="3"/>
      <c r="M627" s="3"/>
      <c r="O627" s="3"/>
      <c r="Q627" s="3"/>
      <c r="S627" s="3"/>
      <c r="U627" s="3"/>
      <c r="V627" s="3"/>
      <c r="W627" s="3"/>
      <c r="X627" s="3"/>
      <c r="Y627" s="3"/>
    </row>
    <row r="628" spans="3:25" x14ac:dyDescent="0.2">
      <c r="C628" s="3"/>
      <c r="E628" s="3"/>
      <c r="G628" s="3"/>
      <c r="I628" s="3"/>
      <c r="K628" s="3"/>
      <c r="M628" s="3"/>
      <c r="O628" s="3"/>
      <c r="Q628" s="3"/>
      <c r="S628" s="3"/>
      <c r="U628" s="3"/>
      <c r="V628" s="3"/>
      <c r="W628" s="3"/>
      <c r="X628" s="3"/>
      <c r="Y628" s="3"/>
    </row>
    <row r="629" spans="3:25" x14ac:dyDescent="0.2">
      <c r="C629" s="3"/>
      <c r="E629" s="3"/>
      <c r="G629" s="3"/>
      <c r="I629" s="3"/>
      <c r="K629" s="3"/>
      <c r="M629" s="3"/>
      <c r="O629" s="3"/>
      <c r="Q629" s="3"/>
      <c r="S629" s="3"/>
      <c r="U629" s="3"/>
      <c r="V629" s="3"/>
      <c r="W629" s="3"/>
      <c r="X629" s="3"/>
      <c r="Y629" s="3"/>
    </row>
    <row r="630" spans="3:25" x14ac:dyDescent="0.2">
      <c r="C630" s="3"/>
      <c r="E630" s="3"/>
      <c r="G630" s="3"/>
      <c r="I630" s="3"/>
      <c r="K630" s="3"/>
      <c r="M630" s="3"/>
      <c r="O630" s="3"/>
      <c r="Q630" s="3"/>
      <c r="S630" s="3"/>
      <c r="U630" s="3"/>
      <c r="V630" s="3"/>
      <c r="W630" s="3"/>
      <c r="X630" s="3"/>
      <c r="Y630" s="3"/>
    </row>
    <row r="631" spans="3:25" x14ac:dyDescent="0.2">
      <c r="C631" s="3"/>
      <c r="E631" s="3"/>
      <c r="G631" s="3"/>
      <c r="I631" s="3"/>
      <c r="K631" s="3"/>
      <c r="M631" s="3"/>
      <c r="O631" s="3"/>
      <c r="Q631" s="3"/>
      <c r="S631" s="3"/>
      <c r="U631" s="3"/>
      <c r="V631" s="3"/>
      <c r="W631" s="3"/>
      <c r="X631" s="3"/>
      <c r="Y631" s="3"/>
    </row>
    <row r="632" spans="3:25" x14ac:dyDescent="0.2">
      <c r="C632" s="3"/>
      <c r="E632" s="3"/>
      <c r="G632" s="3"/>
      <c r="I632" s="3"/>
      <c r="K632" s="3"/>
      <c r="M632" s="3"/>
      <c r="O632" s="3"/>
      <c r="Q632" s="3"/>
      <c r="S632" s="3"/>
      <c r="U632" s="3"/>
      <c r="V632" s="3"/>
      <c r="W632" s="3"/>
      <c r="X632" s="3"/>
      <c r="Y632" s="3"/>
    </row>
    <row r="633" spans="3:25" x14ac:dyDescent="0.2">
      <c r="C633" s="3"/>
      <c r="E633" s="3"/>
      <c r="G633" s="3"/>
      <c r="I633" s="3"/>
      <c r="K633" s="3"/>
      <c r="M633" s="3"/>
      <c r="O633" s="3"/>
      <c r="Q633" s="3"/>
      <c r="S633" s="3"/>
      <c r="U633" s="3"/>
      <c r="V633" s="3"/>
      <c r="W633" s="3"/>
      <c r="X633" s="3"/>
      <c r="Y633" s="3"/>
    </row>
    <row r="634" spans="3:25" x14ac:dyDescent="0.2">
      <c r="C634" s="3"/>
      <c r="E634" s="3"/>
      <c r="G634" s="3"/>
      <c r="I634" s="3"/>
      <c r="K634" s="3"/>
      <c r="M634" s="3"/>
      <c r="O634" s="3"/>
      <c r="Q634" s="3"/>
      <c r="S634" s="3"/>
      <c r="U634" s="3"/>
      <c r="V634" s="3"/>
      <c r="W634" s="3"/>
      <c r="X634" s="3"/>
      <c r="Y634" s="3"/>
    </row>
    <row r="635" spans="3:25" x14ac:dyDescent="0.2">
      <c r="C635" s="3"/>
      <c r="E635" s="3"/>
      <c r="G635" s="3"/>
      <c r="I635" s="3"/>
      <c r="K635" s="3"/>
      <c r="M635" s="3"/>
      <c r="O635" s="3"/>
      <c r="Q635" s="3"/>
      <c r="S635" s="3"/>
      <c r="U635" s="3"/>
      <c r="V635" s="3"/>
      <c r="W635" s="3"/>
      <c r="X635" s="3"/>
      <c r="Y635" s="3"/>
    </row>
    <row r="636" spans="3:25" x14ac:dyDescent="0.2">
      <c r="C636" s="3"/>
      <c r="E636" s="3"/>
      <c r="G636" s="3"/>
      <c r="I636" s="3"/>
      <c r="K636" s="3"/>
      <c r="M636" s="3"/>
      <c r="O636" s="3"/>
      <c r="Q636" s="3"/>
      <c r="S636" s="3"/>
      <c r="U636" s="3"/>
      <c r="V636" s="3"/>
      <c r="W636" s="3"/>
      <c r="X636" s="3"/>
      <c r="Y636" s="3"/>
    </row>
    <row r="637" spans="3:25" x14ac:dyDescent="0.2">
      <c r="C637" s="3"/>
      <c r="E637" s="3"/>
      <c r="G637" s="3"/>
      <c r="I637" s="3"/>
      <c r="K637" s="3"/>
      <c r="M637" s="3"/>
      <c r="O637" s="3"/>
      <c r="Q637" s="3"/>
      <c r="S637" s="3"/>
      <c r="U637" s="3"/>
      <c r="V637" s="3"/>
      <c r="W637" s="3"/>
      <c r="X637" s="3"/>
      <c r="Y637" s="3"/>
    </row>
    <row r="638" spans="3:25" x14ac:dyDescent="0.2">
      <c r="C638" s="3"/>
      <c r="E638" s="3"/>
      <c r="G638" s="3"/>
      <c r="I638" s="3"/>
      <c r="K638" s="3"/>
      <c r="M638" s="3"/>
      <c r="O638" s="3"/>
      <c r="Q638" s="3"/>
      <c r="S638" s="3"/>
      <c r="U638" s="3"/>
      <c r="V638" s="3"/>
      <c r="W638" s="3"/>
      <c r="X638" s="3"/>
      <c r="Y638" s="3"/>
    </row>
    <row r="639" spans="3:25" x14ac:dyDescent="0.2">
      <c r="C639" s="3"/>
      <c r="E639" s="3"/>
      <c r="G639" s="3"/>
      <c r="I639" s="3"/>
      <c r="K639" s="3"/>
      <c r="M639" s="3"/>
      <c r="O639" s="3"/>
      <c r="Q639" s="3"/>
      <c r="S639" s="3"/>
      <c r="U639" s="3"/>
      <c r="V639" s="3"/>
      <c r="W639" s="3"/>
      <c r="X639" s="3"/>
      <c r="Y639" s="3"/>
    </row>
    <row r="640" spans="3:25" x14ac:dyDescent="0.2">
      <c r="C640" s="3"/>
      <c r="E640" s="3"/>
      <c r="G640" s="3"/>
      <c r="I640" s="3"/>
      <c r="K640" s="3"/>
      <c r="M640" s="3"/>
      <c r="O640" s="3"/>
      <c r="Q640" s="3"/>
      <c r="S640" s="3"/>
      <c r="U640" s="3"/>
      <c r="V640" s="3"/>
      <c r="W640" s="3"/>
      <c r="X640" s="3"/>
      <c r="Y640" s="3"/>
    </row>
    <row r="641" spans="3:25" x14ac:dyDescent="0.2">
      <c r="C641" s="3"/>
      <c r="E641" s="3"/>
      <c r="G641" s="3"/>
      <c r="I641" s="3"/>
      <c r="K641" s="3"/>
      <c r="M641" s="3"/>
      <c r="O641" s="3"/>
      <c r="Q641" s="3"/>
      <c r="S641" s="3"/>
      <c r="U641" s="3"/>
      <c r="V641" s="3"/>
      <c r="W641" s="3"/>
      <c r="X641" s="3"/>
      <c r="Y641" s="3"/>
    </row>
    <row r="642" spans="3:25" x14ac:dyDescent="0.2">
      <c r="C642" s="3"/>
      <c r="E642" s="3"/>
      <c r="G642" s="3"/>
      <c r="I642" s="3"/>
      <c r="K642" s="3"/>
      <c r="M642" s="3"/>
      <c r="O642" s="3"/>
      <c r="Q642" s="3"/>
      <c r="S642" s="3"/>
      <c r="U642" s="3"/>
      <c r="V642" s="3"/>
      <c r="W642" s="3"/>
      <c r="X642" s="3"/>
      <c r="Y642" s="3"/>
    </row>
    <row r="643" spans="3:25" x14ac:dyDescent="0.2">
      <c r="C643" s="3"/>
      <c r="E643" s="3"/>
      <c r="G643" s="3"/>
      <c r="I643" s="3"/>
      <c r="K643" s="3"/>
      <c r="M643" s="3"/>
      <c r="O643" s="3"/>
      <c r="Q643" s="3"/>
      <c r="S643" s="3"/>
      <c r="U643" s="3"/>
      <c r="V643" s="3"/>
      <c r="W643" s="3"/>
      <c r="X643" s="3"/>
      <c r="Y643" s="3"/>
    </row>
    <row r="644" spans="3:25" x14ac:dyDescent="0.2">
      <c r="C644" s="3"/>
      <c r="E644" s="3"/>
      <c r="G644" s="3"/>
      <c r="I644" s="3"/>
      <c r="K644" s="3"/>
      <c r="M644" s="3"/>
      <c r="O644" s="3"/>
      <c r="Q644" s="3"/>
      <c r="S644" s="3"/>
      <c r="U644" s="3"/>
      <c r="V644" s="3"/>
      <c r="W644" s="3"/>
      <c r="X644" s="3"/>
      <c r="Y644" s="3"/>
    </row>
    <row r="645" spans="3:25" x14ac:dyDescent="0.2">
      <c r="C645" s="3"/>
      <c r="E645" s="3"/>
      <c r="G645" s="3"/>
      <c r="I645" s="3"/>
      <c r="K645" s="3"/>
      <c r="M645" s="3"/>
      <c r="O645" s="3"/>
      <c r="Q645" s="3"/>
      <c r="S645" s="3"/>
      <c r="U645" s="3"/>
      <c r="V645" s="3"/>
      <c r="W645" s="3"/>
      <c r="X645" s="3"/>
      <c r="Y645" s="3"/>
    </row>
    <row r="646" spans="3:25" x14ac:dyDescent="0.2">
      <c r="C646" s="3"/>
      <c r="E646" s="3"/>
      <c r="G646" s="3"/>
      <c r="I646" s="3"/>
      <c r="K646" s="3"/>
      <c r="M646" s="3"/>
      <c r="O646" s="3"/>
      <c r="Q646" s="3"/>
      <c r="S646" s="3"/>
      <c r="U646" s="3"/>
      <c r="V646" s="3"/>
      <c r="W646" s="3"/>
      <c r="X646" s="3"/>
      <c r="Y646" s="3"/>
    </row>
    <row r="647" spans="3:25" x14ac:dyDescent="0.2">
      <c r="C647" s="3"/>
      <c r="E647" s="3"/>
      <c r="G647" s="3"/>
      <c r="I647" s="3"/>
      <c r="K647" s="3"/>
      <c r="M647" s="3"/>
      <c r="O647" s="3"/>
      <c r="Q647" s="3"/>
      <c r="S647" s="3"/>
      <c r="U647" s="3"/>
      <c r="V647" s="3"/>
      <c r="W647" s="3"/>
      <c r="X647" s="3"/>
      <c r="Y647" s="3"/>
    </row>
    <row r="648" spans="3:25" x14ac:dyDescent="0.2">
      <c r="C648" s="3"/>
      <c r="E648" s="3"/>
      <c r="G648" s="3"/>
      <c r="I648" s="3"/>
      <c r="K648" s="3"/>
      <c r="M648" s="3"/>
      <c r="O648" s="3"/>
      <c r="Q648" s="3"/>
      <c r="S648" s="3"/>
      <c r="U648" s="3"/>
      <c r="V648" s="3"/>
      <c r="W648" s="3"/>
      <c r="X648" s="3"/>
      <c r="Y648" s="3"/>
    </row>
    <row r="649" spans="3:25" x14ac:dyDescent="0.2">
      <c r="C649" s="3"/>
      <c r="E649" s="3"/>
      <c r="G649" s="3"/>
      <c r="I649" s="3"/>
      <c r="K649" s="3"/>
      <c r="M649" s="3"/>
      <c r="O649" s="3"/>
      <c r="Q649" s="3"/>
      <c r="S649" s="3"/>
      <c r="U649" s="3"/>
      <c r="V649" s="3"/>
      <c r="W649" s="3"/>
      <c r="X649" s="3"/>
      <c r="Y649" s="3"/>
    </row>
    <row r="650" spans="3:25" x14ac:dyDescent="0.2">
      <c r="C650" s="3"/>
      <c r="E650" s="3"/>
      <c r="G650" s="3"/>
      <c r="I650" s="3"/>
      <c r="K650" s="3"/>
      <c r="M650" s="3"/>
      <c r="O650" s="3"/>
      <c r="Q650" s="3"/>
      <c r="S650" s="3"/>
      <c r="U650" s="3"/>
      <c r="V650" s="3"/>
      <c r="W650" s="3"/>
      <c r="X650" s="3"/>
      <c r="Y650" s="3"/>
    </row>
    <row r="651" spans="3:25" x14ac:dyDescent="0.2">
      <c r="C651" s="3"/>
      <c r="E651" s="3"/>
      <c r="G651" s="3"/>
      <c r="I651" s="3"/>
      <c r="K651" s="3"/>
      <c r="M651" s="3"/>
      <c r="O651" s="3"/>
      <c r="Q651" s="3"/>
      <c r="S651" s="3"/>
      <c r="U651" s="3"/>
      <c r="V651" s="3"/>
      <c r="W651" s="3"/>
      <c r="X651" s="3"/>
      <c r="Y651" s="3"/>
    </row>
    <row r="652" spans="3:25" x14ac:dyDescent="0.2">
      <c r="C652" s="3"/>
      <c r="E652" s="3"/>
      <c r="G652" s="3"/>
      <c r="I652" s="3"/>
      <c r="K652" s="3"/>
      <c r="M652" s="3"/>
      <c r="O652" s="3"/>
      <c r="Q652" s="3"/>
      <c r="S652" s="3"/>
      <c r="U652" s="3"/>
      <c r="V652" s="3"/>
      <c r="W652" s="3"/>
      <c r="X652" s="3"/>
      <c r="Y652" s="3"/>
    </row>
    <row r="653" spans="3:25" x14ac:dyDescent="0.2">
      <c r="C653" s="3"/>
      <c r="E653" s="3"/>
      <c r="G653" s="3"/>
      <c r="I653" s="3"/>
      <c r="K653" s="3"/>
      <c r="M653" s="3"/>
      <c r="O653" s="3"/>
      <c r="Q653" s="3"/>
      <c r="S653" s="3"/>
      <c r="U653" s="3"/>
      <c r="V653" s="3"/>
      <c r="W653" s="3"/>
      <c r="X653" s="3"/>
      <c r="Y653" s="3"/>
    </row>
    <row r="654" spans="3:25" x14ac:dyDescent="0.2">
      <c r="C654" s="3"/>
      <c r="E654" s="3"/>
      <c r="G654" s="3"/>
      <c r="I654" s="3"/>
      <c r="K654" s="3"/>
      <c r="M654" s="3"/>
      <c r="O654" s="3"/>
      <c r="Q654" s="3"/>
      <c r="S654" s="3"/>
      <c r="U654" s="3"/>
      <c r="V654" s="3"/>
      <c r="W654" s="3"/>
      <c r="X654" s="3"/>
      <c r="Y654" s="3"/>
    </row>
    <row r="655" spans="3:25" x14ac:dyDescent="0.2">
      <c r="C655" s="3"/>
      <c r="E655" s="3"/>
      <c r="G655" s="3"/>
      <c r="I655" s="3"/>
      <c r="K655" s="3"/>
      <c r="M655" s="3"/>
      <c r="O655" s="3"/>
      <c r="Q655" s="3"/>
      <c r="S655" s="3"/>
      <c r="U655" s="3"/>
      <c r="V655" s="3"/>
      <c r="W655" s="3"/>
      <c r="X655" s="3"/>
      <c r="Y655" s="3"/>
    </row>
    <row r="656" spans="3:25" x14ac:dyDescent="0.2">
      <c r="C656" s="3"/>
      <c r="E656" s="3"/>
      <c r="G656" s="3"/>
      <c r="I656" s="3"/>
      <c r="K656" s="3"/>
      <c r="M656" s="3"/>
      <c r="O656" s="3"/>
      <c r="Q656" s="3"/>
      <c r="S656" s="3"/>
      <c r="U656" s="3"/>
      <c r="V656" s="3"/>
      <c r="W656" s="3"/>
      <c r="X656" s="3"/>
      <c r="Y656" s="3"/>
    </row>
    <row r="657" spans="3:25" x14ac:dyDescent="0.2">
      <c r="C657" s="3"/>
      <c r="E657" s="3"/>
      <c r="G657" s="3"/>
      <c r="I657" s="3"/>
      <c r="K657" s="3"/>
      <c r="M657" s="3"/>
      <c r="O657" s="3"/>
      <c r="Q657" s="3"/>
      <c r="S657" s="3"/>
      <c r="U657" s="3"/>
      <c r="V657" s="3"/>
      <c r="W657" s="3"/>
      <c r="X657" s="3"/>
      <c r="Y657" s="3"/>
    </row>
    <row r="658" spans="3:25" x14ac:dyDescent="0.2">
      <c r="C658" s="3"/>
      <c r="E658" s="3"/>
      <c r="G658" s="3"/>
      <c r="I658" s="3"/>
      <c r="K658" s="3"/>
      <c r="M658" s="3"/>
      <c r="O658" s="3"/>
      <c r="Q658" s="3"/>
      <c r="S658" s="3"/>
      <c r="U658" s="3"/>
      <c r="V658" s="3"/>
      <c r="W658" s="3"/>
      <c r="X658" s="3"/>
      <c r="Y658" s="3"/>
    </row>
    <row r="659" spans="3:25" x14ac:dyDescent="0.2">
      <c r="C659" s="3"/>
      <c r="E659" s="3"/>
      <c r="G659" s="3"/>
      <c r="I659" s="3"/>
      <c r="K659" s="3"/>
      <c r="M659" s="3"/>
      <c r="O659" s="3"/>
      <c r="Q659" s="3"/>
      <c r="S659" s="3"/>
      <c r="U659" s="3"/>
      <c r="V659" s="3"/>
      <c r="W659" s="3"/>
      <c r="X659" s="3"/>
      <c r="Y659" s="3"/>
    </row>
    <row r="660" spans="3:25" x14ac:dyDescent="0.2">
      <c r="C660" s="3"/>
      <c r="E660" s="3"/>
      <c r="G660" s="3"/>
      <c r="I660" s="3"/>
      <c r="K660" s="3"/>
      <c r="M660" s="3"/>
      <c r="O660" s="3"/>
      <c r="Q660" s="3"/>
      <c r="S660" s="3"/>
      <c r="U660" s="3"/>
      <c r="V660" s="3"/>
      <c r="W660" s="3"/>
      <c r="X660" s="3"/>
      <c r="Y660" s="3"/>
    </row>
    <row r="661" spans="3:25" x14ac:dyDescent="0.2">
      <c r="C661" s="3"/>
      <c r="E661" s="3"/>
      <c r="G661" s="3"/>
      <c r="I661" s="3"/>
      <c r="K661" s="3"/>
      <c r="M661" s="3"/>
      <c r="O661" s="3"/>
      <c r="Q661" s="3"/>
      <c r="S661" s="3"/>
      <c r="U661" s="3"/>
      <c r="V661" s="3"/>
      <c r="W661" s="3"/>
      <c r="X661" s="3"/>
      <c r="Y661" s="3"/>
    </row>
    <row r="662" spans="3:25" x14ac:dyDescent="0.2">
      <c r="C662" s="3"/>
      <c r="E662" s="3"/>
      <c r="G662" s="3"/>
      <c r="I662" s="3"/>
      <c r="K662" s="3"/>
      <c r="M662" s="3"/>
      <c r="O662" s="3"/>
      <c r="Q662" s="3"/>
      <c r="S662" s="3"/>
      <c r="U662" s="3"/>
      <c r="V662" s="3"/>
      <c r="W662" s="3"/>
      <c r="X662" s="3"/>
      <c r="Y662" s="3"/>
    </row>
    <row r="663" spans="3:25" x14ac:dyDescent="0.2">
      <c r="C663" s="3"/>
      <c r="E663" s="3"/>
      <c r="G663" s="3"/>
      <c r="I663" s="3"/>
      <c r="K663" s="3"/>
      <c r="M663" s="3"/>
      <c r="O663" s="3"/>
      <c r="Q663" s="3"/>
      <c r="S663" s="3"/>
      <c r="U663" s="3"/>
      <c r="V663" s="3"/>
      <c r="W663" s="3"/>
      <c r="X663" s="3"/>
      <c r="Y663" s="3"/>
    </row>
    <row r="664" spans="3:25" x14ac:dyDescent="0.2">
      <c r="C664" s="3"/>
      <c r="E664" s="3"/>
      <c r="G664" s="3"/>
      <c r="I664" s="3"/>
      <c r="K664" s="3"/>
      <c r="M664" s="3"/>
      <c r="O664" s="3"/>
      <c r="Q664" s="3"/>
      <c r="S664" s="3"/>
      <c r="U664" s="3"/>
      <c r="V664" s="3"/>
      <c r="W664" s="3"/>
      <c r="X664" s="3"/>
      <c r="Y664" s="3"/>
    </row>
    <row r="665" spans="3:25" x14ac:dyDescent="0.2">
      <c r="C665" s="3"/>
      <c r="E665" s="3"/>
      <c r="G665" s="3"/>
      <c r="I665" s="3"/>
      <c r="K665" s="3"/>
      <c r="M665" s="3"/>
      <c r="O665" s="3"/>
      <c r="Q665" s="3"/>
      <c r="S665" s="3"/>
      <c r="U665" s="3"/>
      <c r="V665" s="3"/>
      <c r="W665" s="3"/>
      <c r="X665" s="3"/>
      <c r="Y665" s="3"/>
    </row>
    <row r="666" spans="3:25" x14ac:dyDescent="0.2">
      <c r="C666" s="3"/>
      <c r="E666" s="3"/>
      <c r="G666" s="3"/>
      <c r="I666" s="3"/>
      <c r="K666" s="3"/>
      <c r="M666" s="3"/>
      <c r="O666" s="3"/>
      <c r="Q666" s="3"/>
      <c r="S666" s="3"/>
      <c r="U666" s="3"/>
      <c r="V666" s="3"/>
      <c r="W666" s="3"/>
      <c r="X666" s="3"/>
      <c r="Y666" s="3"/>
    </row>
    <row r="667" spans="3:25" x14ac:dyDescent="0.2">
      <c r="C667" s="3"/>
      <c r="E667" s="3"/>
      <c r="G667" s="3"/>
      <c r="I667" s="3"/>
      <c r="K667" s="3"/>
      <c r="M667" s="3"/>
      <c r="O667" s="3"/>
      <c r="Q667" s="3"/>
      <c r="S667" s="3"/>
      <c r="U667" s="3"/>
      <c r="V667" s="3"/>
      <c r="W667" s="3"/>
      <c r="X667" s="3"/>
      <c r="Y667" s="3"/>
    </row>
    <row r="668" spans="3:25" x14ac:dyDescent="0.2">
      <c r="C668" s="3"/>
      <c r="E668" s="3"/>
      <c r="G668" s="3"/>
      <c r="I668" s="3"/>
      <c r="K668" s="3"/>
      <c r="M668" s="3"/>
      <c r="O668" s="3"/>
      <c r="Q668" s="3"/>
      <c r="S668" s="3"/>
      <c r="U668" s="3"/>
      <c r="V668" s="3"/>
      <c r="W668" s="3"/>
      <c r="X668" s="3"/>
      <c r="Y668" s="3"/>
    </row>
    <row r="669" spans="3:25" x14ac:dyDescent="0.2">
      <c r="C669" s="3"/>
      <c r="E669" s="3"/>
      <c r="G669" s="3"/>
      <c r="I669" s="3"/>
      <c r="K669" s="3"/>
      <c r="M669" s="3"/>
      <c r="O669" s="3"/>
      <c r="Q669" s="3"/>
      <c r="S669" s="3"/>
      <c r="U669" s="3"/>
      <c r="V669" s="3"/>
      <c r="W669" s="3"/>
      <c r="X669" s="3"/>
      <c r="Y669" s="3"/>
    </row>
    <row r="670" spans="3:25" x14ac:dyDescent="0.2">
      <c r="C670" s="3"/>
      <c r="E670" s="3"/>
      <c r="G670" s="3"/>
      <c r="I670" s="3"/>
      <c r="K670" s="3"/>
      <c r="M670" s="3"/>
      <c r="O670" s="3"/>
      <c r="Q670" s="3"/>
      <c r="S670" s="3"/>
      <c r="U670" s="3"/>
      <c r="V670" s="3"/>
      <c r="W670" s="3"/>
      <c r="X670" s="3"/>
      <c r="Y670" s="3"/>
    </row>
    <row r="671" spans="3:25" x14ac:dyDescent="0.2">
      <c r="C671" s="3"/>
      <c r="E671" s="3"/>
      <c r="G671" s="3"/>
      <c r="I671" s="3"/>
      <c r="K671" s="3"/>
      <c r="M671" s="3"/>
      <c r="O671" s="3"/>
      <c r="Q671" s="3"/>
      <c r="S671" s="3"/>
      <c r="U671" s="3"/>
      <c r="V671" s="3"/>
      <c r="W671" s="3"/>
      <c r="X671" s="3"/>
      <c r="Y671" s="3"/>
    </row>
    <row r="672" spans="3:25" x14ac:dyDescent="0.2">
      <c r="C672" s="3"/>
      <c r="E672" s="3"/>
      <c r="G672" s="3"/>
      <c r="I672" s="3"/>
      <c r="K672" s="3"/>
      <c r="M672" s="3"/>
      <c r="O672" s="3"/>
      <c r="Q672" s="3"/>
      <c r="S672" s="3"/>
      <c r="U672" s="3"/>
      <c r="V672" s="3"/>
      <c r="W672" s="3"/>
      <c r="X672" s="3"/>
      <c r="Y672" s="3"/>
    </row>
    <row r="673" spans="3:25" x14ac:dyDescent="0.2">
      <c r="C673" s="3"/>
      <c r="E673" s="3"/>
      <c r="G673" s="3"/>
      <c r="I673" s="3"/>
      <c r="K673" s="3"/>
      <c r="M673" s="3"/>
      <c r="O673" s="3"/>
      <c r="Q673" s="3"/>
      <c r="S673" s="3"/>
      <c r="U673" s="3"/>
      <c r="V673" s="3"/>
      <c r="W673" s="3"/>
      <c r="X673" s="3"/>
      <c r="Y673" s="3"/>
    </row>
    <row r="674" spans="3:25" x14ac:dyDescent="0.2">
      <c r="C674" s="3"/>
      <c r="E674" s="3"/>
      <c r="G674" s="3"/>
      <c r="I674" s="3"/>
      <c r="K674" s="3"/>
      <c r="M674" s="3"/>
      <c r="O674" s="3"/>
      <c r="Q674" s="3"/>
      <c r="S674" s="3"/>
      <c r="U674" s="3"/>
      <c r="V674" s="3"/>
      <c r="W674" s="3"/>
      <c r="X674" s="3"/>
      <c r="Y674" s="3"/>
    </row>
    <row r="675" spans="3:25" x14ac:dyDescent="0.2">
      <c r="C675" s="3"/>
      <c r="E675" s="3"/>
      <c r="G675" s="3"/>
      <c r="I675" s="3"/>
      <c r="K675" s="3"/>
      <c r="M675" s="3"/>
      <c r="O675" s="3"/>
      <c r="Q675" s="3"/>
      <c r="S675" s="3"/>
      <c r="U675" s="3"/>
      <c r="V675" s="3"/>
      <c r="W675" s="3"/>
      <c r="X675" s="3"/>
      <c r="Y675" s="3"/>
    </row>
    <row r="676" spans="3:25" x14ac:dyDescent="0.2">
      <c r="C676" s="3"/>
      <c r="E676" s="3"/>
      <c r="G676" s="3"/>
      <c r="I676" s="3"/>
      <c r="K676" s="3"/>
      <c r="M676" s="3"/>
      <c r="O676" s="3"/>
      <c r="Q676" s="3"/>
      <c r="S676" s="3"/>
      <c r="U676" s="3"/>
      <c r="V676" s="3"/>
      <c r="W676" s="3"/>
      <c r="X676" s="3"/>
      <c r="Y676" s="3"/>
    </row>
    <row r="677" spans="3:25" x14ac:dyDescent="0.2">
      <c r="C677" s="3"/>
      <c r="E677" s="3"/>
      <c r="G677" s="3"/>
      <c r="I677" s="3"/>
      <c r="K677" s="3"/>
      <c r="M677" s="3"/>
      <c r="O677" s="3"/>
      <c r="Q677" s="3"/>
      <c r="S677" s="3"/>
      <c r="U677" s="3"/>
      <c r="V677" s="3"/>
      <c r="W677" s="3"/>
      <c r="X677" s="3"/>
      <c r="Y677" s="3"/>
    </row>
    <row r="678" spans="3:25" x14ac:dyDescent="0.2">
      <c r="C678" s="3"/>
      <c r="E678" s="3"/>
      <c r="G678" s="3"/>
      <c r="I678" s="3"/>
      <c r="K678" s="3"/>
      <c r="M678" s="3"/>
      <c r="O678" s="3"/>
      <c r="Q678" s="3"/>
      <c r="S678" s="3"/>
      <c r="U678" s="3"/>
      <c r="V678" s="3"/>
      <c r="W678" s="3"/>
      <c r="X678" s="3"/>
      <c r="Y678" s="3"/>
    </row>
    <row r="679" spans="3:25" x14ac:dyDescent="0.2">
      <c r="C679" s="3"/>
      <c r="E679" s="3"/>
      <c r="G679" s="3"/>
      <c r="I679" s="3"/>
      <c r="K679" s="3"/>
      <c r="M679" s="3"/>
      <c r="O679" s="3"/>
      <c r="Q679" s="3"/>
      <c r="S679" s="3"/>
      <c r="U679" s="3"/>
      <c r="V679" s="3"/>
      <c r="W679" s="3"/>
      <c r="X679" s="3"/>
      <c r="Y679" s="3"/>
    </row>
    <row r="680" spans="3:25" x14ac:dyDescent="0.2">
      <c r="C680" s="3"/>
      <c r="E680" s="3"/>
      <c r="G680" s="3"/>
      <c r="I680" s="3"/>
      <c r="K680" s="3"/>
      <c r="M680" s="3"/>
      <c r="O680" s="3"/>
      <c r="Q680" s="3"/>
      <c r="S680" s="3"/>
      <c r="U680" s="3"/>
      <c r="V680" s="3"/>
      <c r="W680" s="3"/>
      <c r="X680" s="3"/>
      <c r="Y680" s="3"/>
    </row>
    <row r="681" spans="3:25" x14ac:dyDescent="0.2">
      <c r="C681" s="3"/>
      <c r="E681" s="3"/>
      <c r="G681" s="3"/>
      <c r="I681" s="3"/>
      <c r="K681" s="3"/>
      <c r="M681" s="3"/>
      <c r="O681" s="3"/>
      <c r="Q681" s="3"/>
      <c r="S681" s="3"/>
      <c r="U681" s="3"/>
      <c r="V681" s="3"/>
      <c r="W681" s="3"/>
      <c r="X681" s="3"/>
      <c r="Y681" s="3"/>
    </row>
    <row r="682" spans="3:25" x14ac:dyDescent="0.2">
      <c r="C682" s="3"/>
      <c r="E682" s="3"/>
      <c r="G682" s="3"/>
      <c r="I682" s="3"/>
      <c r="K682" s="3"/>
      <c r="M682" s="3"/>
      <c r="O682" s="3"/>
      <c r="Q682" s="3"/>
      <c r="S682" s="3"/>
      <c r="U682" s="3"/>
      <c r="V682" s="3"/>
      <c r="W682" s="3"/>
      <c r="X682" s="3"/>
      <c r="Y682" s="3"/>
    </row>
    <row r="683" spans="3:25" x14ac:dyDescent="0.2">
      <c r="C683" s="3"/>
      <c r="E683" s="3"/>
      <c r="G683" s="3"/>
      <c r="I683" s="3"/>
      <c r="K683" s="3"/>
      <c r="M683" s="3"/>
      <c r="O683" s="3"/>
      <c r="Q683" s="3"/>
      <c r="S683" s="3"/>
      <c r="U683" s="3"/>
      <c r="V683" s="3"/>
      <c r="W683" s="3"/>
      <c r="X683" s="3"/>
      <c r="Y683" s="3"/>
    </row>
    <row r="684" spans="3:25" x14ac:dyDescent="0.2">
      <c r="C684" s="3"/>
      <c r="E684" s="3"/>
      <c r="G684" s="3"/>
      <c r="I684" s="3"/>
      <c r="K684" s="3"/>
      <c r="M684" s="3"/>
      <c r="O684" s="3"/>
      <c r="Q684" s="3"/>
      <c r="S684" s="3"/>
      <c r="U684" s="3"/>
      <c r="V684" s="3"/>
      <c r="W684" s="3"/>
      <c r="X684" s="3"/>
      <c r="Y684" s="3"/>
    </row>
    <row r="685" spans="3:25" x14ac:dyDescent="0.2">
      <c r="C685" s="3"/>
      <c r="E685" s="3"/>
      <c r="G685" s="3"/>
      <c r="I685" s="3"/>
      <c r="K685" s="3"/>
      <c r="M685" s="3"/>
      <c r="O685" s="3"/>
      <c r="Q685" s="3"/>
      <c r="S685" s="3"/>
      <c r="U685" s="3"/>
      <c r="V685" s="3"/>
      <c r="W685" s="3"/>
      <c r="X685" s="3"/>
      <c r="Y685" s="3"/>
    </row>
    <row r="686" spans="3:25" x14ac:dyDescent="0.2">
      <c r="C686" s="3"/>
      <c r="E686" s="3"/>
      <c r="G686" s="3"/>
      <c r="I686" s="3"/>
      <c r="K686" s="3"/>
      <c r="M686" s="3"/>
      <c r="O686" s="3"/>
      <c r="Q686" s="3"/>
      <c r="S686" s="3"/>
      <c r="U686" s="3"/>
      <c r="V686" s="3"/>
      <c r="W686" s="3"/>
      <c r="X686" s="3"/>
      <c r="Y686" s="3"/>
    </row>
    <row r="687" spans="3:25" x14ac:dyDescent="0.2">
      <c r="C687" s="3"/>
      <c r="E687" s="3"/>
      <c r="G687" s="3"/>
      <c r="I687" s="3"/>
      <c r="K687" s="3"/>
      <c r="M687" s="3"/>
      <c r="O687" s="3"/>
      <c r="Q687" s="3"/>
      <c r="S687" s="3"/>
      <c r="U687" s="3"/>
      <c r="V687" s="3"/>
      <c r="W687" s="3"/>
      <c r="X687" s="3"/>
      <c r="Y687" s="3"/>
    </row>
    <row r="688" spans="3:25" x14ac:dyDescent="0.2">
      <c r="C688" s="3"/>
      <c r="E688" s="3"/>
      <c r="G688" s="3"/>
      <c r="I688" s="3"/>
      <c r="K688" s="3"/>
      <c r="M688" s="3"/>
      <c r="O688" s="3"/>
      <c r="Q688" s="3"/>
      <c r="S688" s="3"/>
      <c r="U688" s="3"/>
      <c r="V688" s="3"/>
      <c r="W688" s="3"/>
      <c r="X688" s="3"/>
      <c r="Y688" s="3"/>
    </row>
    <row r="689" spans="3:25" x14ac:dyDescent="0.2">
      <c r="C689" s="3"/>
      <c r="E689" s="3"/>
      <c r="G689" s="3"/>
      <c r="I689" s="3"/>
      <c r="K689" s="3"/>
      <c r="M689" s="3"/>
      <c r="O689" s="3"/>
      <c r="Q689" s="3"/>
      <c r="S689" s="3"/>
      <c r="U689" s="3"/>
      <c r="V689" s="3"/>
      <c r="W689" s="3"/>
      <c r="X689" s="3"/>
      <c r="Y689" s="3"/>
    </row>
    <row r="690" spans="3:25" x14ac:dyDescent="0.2">
      <c r="C690" s="3"/>
      <c r="E690" s="3"/>
      <c r="G690" s="3"/>
      <c r="I690" s="3"/>
      <c r="K690" s="3"/>
      <c r="M690" s="3"/>
      <c r="O690" s="3"/>
      <c r="Q690" s="3"/>
      <c r="S690" s="3"/>
      <c r="U690" s="3"/>
      <c r="V690" s="3"/>
      <c r="W690" s="3"/>
      <c r="X690" s="3"/>
      <c r="Y690" s="3"/>
    </row>
    <row r="691" spans="3:25" x14ac:dyDescent="0.2">
      <c r="C691" s="3"/>
      <c r="E691" s="3"/>
      <c r="G691" s="3"/>
      <c r="I691" s="3"/>
      <c r="K691" s="3"/>
      <c r="M691" s="3"/>
      <c r="O691" s="3"/>
      <c r="Q691" s="3"/>
      <c r="S691" s="3"/>
      <c r="U691" s="3"/>
      <c r="V691" s="3"/>
      <c r="W691" s="3"/>
      <c r="X691" s="3"/>
      <c r="Y691" s="3"/>
    </row>
    <row r="692" spans="3:25" x14ac:dyDescent="0.2">
      <c r="C692" s="3"/>
      <c r="E692" s="3"/>
      <c r="G692" s="3"/>
      <c r="I692" s="3"/>
      <c r="K692" s="3"/>
      <c r="M692" s="3"/>
      <c r="O692" s="3"/>
      <c r="Q692" s="3"/>
      <c r="S692" s="3"/>
      <c r="U692" s="3"/>
      <c r="V692" s="3"/>
      <c r="W692" s="3"/>
      <c r="X692" s="3"/>
      <c r="Y692" s="3"/>
    </row>
    <row r="693" spans="3:25" x14ac:dyDescent="0.2">
      <c r="C693" s="3"/>
      <c r="E693" s="3"/>
      <c r="G693" s="3"/>
      <c r="I693" s="3"/>
      <c r="K693" s="3"/>
      <c r="M693" s="3"/>
      <c r="O693" s="3"/>
      <c r="Q693" s="3"/>
      <c r="S693" s="3"/>
      <c r="U693" s="3"/>
      <c r="V693" s="3"/>
      <c r="W693" s="3"/>
      <c r="X693" s="3"/>
      <c r="Y693" s="3"/>
    </row>
    <row r="694" spans="3:25" x14ac:dyDescent="0.2">
      <c r="C694" s="3"/>
      <c r="E694" s="3"/>
      <c r="G694" s="3"/>
      <c r="I694" s="3"/>
      <c r="K694" s="3"/>
      <c r="M694" s="3"/>
      <c r="O694" s="3"/>
      <c r="Q694" s="3"/>
      <c r="S694" s="3"/>
      <c r="U694" s="3"/>
      <c r="V694" s="3"/>
      <c r="W694" s="3"/>
      <c r="X694" s="3"/>
      <c r="Y694" s="3"/>
    </row>
    <row r="695" spans="3:25" x14ac:dyDescent="0.2">
      <c r="C695" s="3"/>
      <c r="E695" s="3"/>
      <c r="G695" s="3"/>
      <c r="I695" s="3"/>
      <c r="K695" s="3"/>
      <c r="M695" s="3"/>
      <c r="O695" s="3"/>
      <c r="Q695" s="3"/>
      <c r="S695" s="3"/>
      <c r="U695" s="3"/>
      <c r="V695" s="3"/>
      <c r="W695" s="3"/>
      <c r="X695" s="3"/>
      <c r="Y695" s="3"/>
    </row>
    <row r="696" spans="3:25" x14ac:dyDescent="0.2">
      <c r="C696" s="3"/>
      <c r="E696" s="3"/>
      <c r="G696" s="3"/>
      <c r="I696" s="3"/>
      <c r="K696" s="3"/>
      <c r="M696" s="3"/>
      <c r="O696" s="3"/>
      <c r="Q696" s="3"/>
      <c r="S696" s="3"/>
      <c r="U696" s="3"/>
      <c r="V696" s="3"/>
      <c r="W696" s="3"/>
      <c r="X696" s="3"/>
      <c r="Y696" s="3"/>
    </row>
    <row r="697" spans="3:25" x14ac:dyDescent="0.2">
      <c r="C697" s="3"/>
      <c r="E697" s="3"/>
      <c r="G697" s="3"/>
      <c r="I697" s="3"/>
      <c r="K697" s="3"/>
      <c r="M697" s="3"/>
      <c r="O697" s="3"/>
      <c r="Q697" s="3"/>
      <c r="S697" s="3"/>
      <c r="U697" s="3"/>
      <c r="V697" s="3"/>
      <c r="W697" s="3"/>
      <c r="X697" s="3"/>
      <c r="Y697" s="3"/>
    </row>
    <row r="698" spans="3:25" x14ac:dyDescent="0.2">
      <c r="C698" s="3"/>
      <c r="E698" s="3"/>
      <c r="G698" s="3"/>
      <c r="I698" s="3"/>
      <c r="K698" s="3"/>
      <c r="M698" s="3"/>
      <c r="O698" s="3"/>
      <c r="Q698" s="3"/>
      <c r="S698" s="3"/>
      <c r="U698" s="3"/>
      <c r="V698" s="3"/>
      <c r="W698" s="3"/>
      <c r="X698" s="3"/>
      <c r="Y698" s="3"/>
    </row>
    <row r="699" spans="3:25" x14ac:dyDescent="0.2">
      <c r="C699" s="3"/>
      <c r="E699" s="3"/>
      <c r="G699" s="3"/>
      <c r="I699" s="3"/>
      <c r="K699" s="3"/>
      <c r="M699" s="3"/>
      <c r="O699" s="3"/>
      <c r="Q699" s="3"/>
      <c r="S699" s="3"/>
      <c r="U699" s="3"/>
      <c r="V699" s="3"/>
      <c r="W699" s="3"/>
      <c r="X699" s="3"/>
      <c r="Y699" s="3"/>
    </row>
    <row r="700" spans="3:25" x14ac:dyDescent="0.2">
      <c r="C700" s="3"/>
      <c r="E700" s="3"/>
      <c r="G700" s="3"/>
      <c r="I700" s="3"/>
      <c r="K700" s="3"/>
      <c r="M700" s="3"/>
      <c r="O700" s="3"/>
      <c r="Q700" s="3"/>
      <c r="S700" s="3"/>
      <c r="U700" s="3"/>
      <c r="V700" s="3"/>
      <c r="W700" s="3"/>
      <c r="X700" s="3"/>
      <c r="Y700" s="3"/>
    </row>
    <row r="701" spans="3:25" x14ac:dyDescent="0.2">
      <c r="C701" s="3"/>
      <c r="E701" s="3"/>
      <c r="G701" s="3"/>
      <c r="I701" s="3"/>
      <c r="K701" s="3"/>
      <c r="M701" s="3"/>
      <c r="O701" s="3"/>
      <c r="Q701" s="3"/>
      <c r="S701" s="3"/>
      <c r="U701" s="3"/>
      <c r="V701" s="3"/>
      <c r="W701" s="3"/>
      <c r="X701" s="3"/>
      <c r="Y701" s="3"/>
    </row>
    <row r="702" spans="3:25" x14ac:dyDescent="0.2">
      <c r="C702" s="3"/>
      <c r="E702" s="3"/>
      <c r="G702" s="3"/>
      <c r="I702" s="3"/>
      <c r="K702" s="3"/>
      <c r="M702" s="3"/>
      <c r="O702" s="3"/>
      <c r="Q702" s="3"/>
      <c r="S702" s="3"/>
      <c r="U702" s="3"/>
      <c r="V702" s="3"/>
      <c r="W702" s="3"/>
      <c r="X702" s="3"/>
      <c r="Y702" s="3"/>
    </row>
    <row r="703" spans="3:25" x14ac:dyDescent="0.2">
      <c r="C703" s="3"/>
      <c r="E703" s="3"/>
      <c r="G703" s="3"/>
      <c r="I703" s="3"/>
      <c r="K703" s="3"/>
      <c r="M703" s="3"/>
      <c r="O703" s="3"/>
      <c r="Q703" s="3"/>
      <c r="S703" s="3"/>
      <c r="U703" s="3"/>
      <c r="V703" s="3"/>
      <c r="W703" s="3"/>
      <c r="X703" s="3"/>
      <c r="Y703" s="3"/>
    </row>
    <row r="704" spans="3:25" x14ac:dyDescent="0.2">
      <c r="C704" s="3"/>
      <c r="E704" s="3"/>
      <c r="G704" s="3"/>
      <c r="I704" s="3"/>
      <c r="K704" s="3"/>
      <c r="M704" s="3"/>
      <c r="O704" s="3"/>
      <c r="Q704" s="3"/>
      <c r="S704" s="3"/>
      <c r="U704" s="3"/>
      <c r="V704" s="3"/>
      <c r="W704" s="3"/>
      <c r="X704" s="3"/>
      <c r="Y704" s="3"/>
    </row>
    <row r="705" spans="3:25" x14ac:dyDescent="0.2">
      <c r="C705" s="3"/>
      <c r="E705" s="3"/>
      <c r="G705" s="3"/>
      <c r="I705" s="3"/>
      <c r="K705" s="3"/>
      <c r="M705" s="3"/>
      <c r="O705" s="3"/>
      <c r="Q705" s="3"/>
      <c r="S705" s="3"/>
      <c r="U705" s="3"/>
      <c r="V705" s="3"/>
      <c r="W705" s="3"/>
      <c r="X705" s="3"/>
      <c r="Y705" s="3"/>
    </row>
    <row r="706" spans="3:25" x14ac:dyDescent="0.2">
      <c r="C706" s="3"/>
      <c r="E706" s="3"/>
      <c r="G706" s="3"/>
      <c r="I706" s="3"/>
      <c r="K706" s="3"/>
      <c r="M706" s="3"/>
      <c r="O706" s="3"/>
      <c r="Q706" s="3"/>
      <c r="S706" s="3"/>
      <c r="U706" s="3"/>
      <c r="V706" s="3"/>
      <c r="W706" s="3"/>
      <c r="X706" s="3"/>
      <c r="Y706" s="3"/>
    </row>
    <row r="707" spans="3:25" x14ac:dyDescent="0.2">
      <c r="C707" s="3"/>
      <c r="E707" s="3"/>
      <c r="G707" s="3"/>
      <c r="I707" s="3"/>
      <c r="K707" s="3"/>
      <c r="M707" s="3"/>
      <c r="O707" s="3"/>
      <c r="Q707" s="3"/>
      <c r="S707" s="3"/>
      <c r="U707" s="3"/>
      <c r="V707" s="3"/>
      <c r="W707" s="3"/>
      <c r="X707" s="3"/>
      <c r="Y707" s="3"/>
    </row>
    <row r="708" spans="3:25" x14ac:dyDescent="0.2">
      <c r="C708" s="3"/>
      <c r="E708" s="3"/>
      <c r="G708" s="3"/>
      <c r="I708" s="3"/>
      <c r="K708" s="3"/>
      <c r="M708" s="3"/>
      <c r="O708" s="3"/>
      <c r="Q708" s="3"/>
      <c r="S708" s="3"/>
      <c r="U708" s="3"/>
      <c r="V708" s="3"/>
      <c r="W708" s="3"/>
      <c r="X708" s="3"/>
      <c r="Y708" s="3"/>
    </row>
    <row r="709" spans="3:25" x14ac:dyDescent="0.2">
      <c r="C709" s="3"/>
      <c r="E709" s="3"/>
      <c r="G709" s="3"/>
      <c r="I709" s="3"/>
      <c r="K709" s="3"/>
      <c r="M709" s="3"/>
      <c r="O709" s="3"/>
      <c r="Q709" s="3"/>
      <c r="S709" s="3"/>
      <c r="U709" s="3"/>
      <c r="V709" s="3"/>
      <c r="W709" s="3"/>
      <c r="X709" s="3"/>
      <c r="Y709" s="3"/>
    </row>
    <row r="710" spans="3:25" x14ac:dyDescent="0.2">
      <c r="C710" s="3"/>
      <c r="E710" s="3"/>
      <c r="G710" s="3"/>
      <c r="I710" s="3"/>
      <c r="K710" s="3"/>
      <c r="M710" s="3"/>
      <c r="O710" s="3"/>
      <c r="Q710" s="3"/>
      <c r="S710" s="3"/>
      <c r="U710" s="3"/>
      <c r="V710" s="3"/>
      <c r="W710" s="3"/>
      <c r="X710" s="3"/>
      <c r="Y710" s="3"/>
    </row>
    <row r="711" spans="3:25" x14ac:dyDescent="0.2">
      <c r="C711" s="3"/>
      <c r="E711" s="3"/>
      <c r="G711" s="3"/>
      <c r="I711" s="3"/>
      <c r="K711" s="3"/>
      <c r="M711" s="3"/>
      <c r="O711" s="3"/>
      <c r="Q711" s="3"/>
      <c r="S711" s="3"/>
      <c r="U711" s="3"/>
      <c r="V711" s="3"/>
      <c r="W711" s="3"/>
      <c r="X711" s="3"/>
      <c r="Y711" s="3"/>
    </row>
    <row r="712" spans="3:25" x14ac:dyDescent="0.2">
      <c r="C712" s="3"/>
      <c r="E712" s="3"/>
      <c r="G712" s="3"/>
      <c r="I712" s="3"/>
      <c r="K712" s="3"/>
      <c r="M712" s="3"/>
      <c r="O712" s="3"/>
      <c r="Q712" s="3"/>
      <c r="S712" s="3"/>
      <c r="U712" s="3"/>
      <c r="V712" s="3"/>
      <c r="W712" s="3"/>
      <c r="X712" s="3"/>
      <c r="Y712" s="3"/>
    </row>
    <row r="713" spans="3:25" x14ac:dyDescent="0.2">
      <c r="C713" s="3"/>
      <c r="E713" s="3"/>
      <c r="G713" s="3"/>
      <c r="I713" s="3"/>
      <c r="K713" s="3"/>
      <c r="M713" s="3"/>
      <c r="O713" s="3"/>
      <c r="Q713" s="3"/>
      <c r="S713" s="3"/>
      <c r="U713" s="3"/>
      <c r="V713" s="3"/>
      <c r="W713" s="3"/>
      <c r="X713" s="3"/>
      <c r="Y713" s="3"/>
    </row>
    <row r="714" spans="3:25" x14ac:dyDescent="0.2">
      <c r="C714" s="3"/>
      <c r="E714" s="3"/>
      <c r="G714" s="3"/>
      <c r="I714" s="3"/>
      <c r="K714" s="3"/>
      <c r="M714" s="3"/>
      <c r="O714" s="3"/>
      <c r="Q714" s="3"/>
      <c r="S714" s="3"/>
      <c r="U714" s="3"/>
      <c r="V714" s="3"/>
      <c r="W714" s="3"/>
      <c r="X714" s="3"/>
      <c r="Y714" s="3"/>
    </row>
    <row r="715" spans="3:25" x14ac:dyDescent="0.2">
      <c r="C715" s="3"/>
      <c r="E715" s="3"/>
      <c r="G715" s="3"/>
      <c r="I715" s="3"/>
      <c r="K715" s="3"/>
      <c r="M715" s="3"/>
      <c r="O715" s="3"/>
      <c r="Q715" s="3"/>
      <c r="S715" s="3"/>
      <c r="U715" s="3"/>
      <c r="V715" s="3"/>
      <c r="W715" s="3"/>
      <c r="X715" s="3"/>
      <c r="Y715" s="3"/>
    </row>
    <row r="716" spans="3:25" x14ac:dyDescent="0.2">
      <c r="C716" s="3"/>
      <c r="E716" s="3"/>
      <c r="G716" s="3"/>
      <c r="I716" s="3"/>
      <c r="K716" s="3"/>
      <c r="M716" s="3"/>
      <c r="O716" s="3"/>
      <c r="Q716" s="3"/>
      <c r="S716" s="3"/>
      <c r="U716" s="3"/>
      <c r="V716" s="3"/>
      <c r="W716" s="3"/>
      <c r="X716" s="3"/>
      <c r="Y716" s="3"/>
    </row>
    <row r="717" spans="3:25" x14ac:dyDescent="0.2">
      <c r="C717" s="3"/>
      <c r="E717" s="3"/>
      <c r="G717" s="3"/>
      <c r="I717" s="3"/>
      <c r="K717" s="3"/>
      <c r="M717" s="3"/>
      <c r="O717" s="3"/>
      <c r="Q717" s="3"/>
      <c r="S717" s="3"/>
      <c r="U717" s="3"/>
      <c r="V717" s="3"/>
      <c r="W717" s="3"/>
      <c r="X717" s="3"/>
      <c r="Y717" s="3"/>
    </row>
    <row r="718" spans="3:25" x14ac:dyDescent="0.2">
      <c r="C718" s="3"/>
      <c r="E718" s="3"/>
      <c r="G718" s="3"/>
      <c r="I718" s="3"/>
      <c r="K718" s="3"/>
      <c r="M718" s="3"/>
      <c r="O718" s="3"/>
      <c r="Q718" s="3"/>
      <c r="S718" s="3"/>
      <c r="U718" s="3"/>
      <c r="V718" s="3"/>
      <c r="W718" s="3"/>
      <c r="X718" s="3"/>
      <c r="Y718" s="3"/>
    </row>
    <row r="719" spans="3:25" x14ac:dyDescent="0.2">
      <c r="C719" s="3"/>
      <c r="E719" s="3"/>
      <c r="G719" s="3"/>
      <c r="I719" s="3"/>
      <c r="K719" s="3"/>
      <c r="M719" s="3"/>
      <c r="O719" s="3"/>
      <c r="Q719" s="3"/>
      <c r="S719" s="3"/>
      <c r="U719" s="3"/>
      <c r="V719" s="3"/>
      <c r="W719" s="3"/>
      <c r="X719" s="3"/>
      <c r="Y719" s="3"/>
    </row>
    <row r="720" spans="3:25" x14ac:dyDescent="0.2">
      <c r="C720" s="3"/>
      <c r="E720" s="3"/>
      <c r="G720" s="3"/>
      <c r="I720" s="3"/>
      <c r="K720" s="3"/>
      <c r="M720" s="3"/>
      <c r="O720" s="3"/>
      <c r="Q720" s="3"/>
      <c r="S720" s="3"/>
      <c r="U720" s="3"/>
      <c r="V720" s="3"/>
      <c r="W720" s="3"/>
      <c r="X720" s="3"/>
      <c r="Y720" s="3"/>
    </row>
    <row r="721" spans="3:25" x14ac:dyDescent="0.2">
      <c r="C721" s="3"/>
      <c r="E721" s="3"/>
      <c r="G721" s="3"/>
      <c r="I721" s="3"/>
      <c r="K721" s="3"/>
      <c r="M721" s="3"/>
      <c r="O721" s="3"/>
      <c r="Q721" s="3"/>
      <c r="S721" s="3"/>
      <c r="U721" s="3"/>
      <c r="V721" s="3"/>
      <c r="W721" s="3"/>
      <c r="X721" s="3"/>
      <c r="Y721" s="3"/>
    </row>
    <row r="722" spans="3:25" x14ac:dyDescent="0.2">
      <c r="C722" s="3"/>
      <c r="E722" s="3"/>
      <c r="G722" s="3"/>
      <c r="I722" s="3"/>
      <c r="K722" s="3"/>
      <c r="M722" s="3"/>
      <c r="O722" s="3"/>
      <c r="Q722" s="3"/>
      <c r="S722" s="3"/>
      <c r="U722" s="3"/>
      <c r="V722" s="3"/>
      <c r="W722" s="3"/>
      <c r="X722" s="3"/>
      <c r="Y722" s="3"/>
    </row>
    <row r="723" spans="3:25" x14ac:dyDescent="0.2">
      <c r="C723" s="3"/>
      <c r="E723" s="3"/>
      <c r="G723" s="3"/>
      <c r="I723" s="3"/>
      <c r="K723" s="3"/>
      <c r="M723" s="3"/>
      <c r="O723" s="3"/>
      <c r="Q723" s="3"/>
      <c r="S723" s="3"/>
      <c r="U723" s="3"/>
      <c r="V723" s="3"/>
      <c r="W723" s="3"/>
      <c r="X723" s="3"/>
      <c r="Y723" s="3"/>
    </row>
    <row r="724" spans="3:25" x14ac:dyDescent="0.2">
      <c r="C724" s="3"/>
      <c r="E724" s="3"/>
      <c r="G724" s="3"/>
      <c r="I724" s="3"/>
      <c r="K724" s="3"/>
      <c r="M724" s="3"/>
      <c r="O724" s="3"/>
      <c r="Q724" s="3"/>
      <c r="S724" s="3"/>
      <c r="U724" s="3"/>
      <c r="V724" s="3"/>
      <c r="W724" s="3"/>
      <c r="X724" s="3"/>
      <c r="Y724" s="3"/>
    </row>
    <row r="725" spans="3:25" x14ac:dyDescent="0.2">
      <c r="C725" s="3"/>
      <c r="E725" s="3"/>
      <c r="G725" s="3"/>
      <c r="I725" s="3"/>
      <c r="K725" s="3"/>
      <c r="M725" s="3"/>
      <c r="O725" s="3"/>
      <c r="Q725" s="3"/>
      <c r="S725" s="3"/>
      <c r="U725" s="3"/>
      <c r="V725" s="3"/>
      <c r="W725" s="3"/>
      <c r="X725" s="3"/>
      <c r="Y725" s="3"/>
    </row>
    <row r="726" spans="3:25" x14ac:dyDescent="0.2">
      <c r="C726" s="3"/>
      <c r="E726" s="3"/>
      <c r="G726" s="3"/>
      <c r="I726" s="3"/>
      <c r="K726" s="3"/>
      <c r="M726" s="3"/>
      <c r="O726" s="3"/>
      <c r="Q726" s="3"/>
      <c r="S726" s="3"/>
      <c r="U726" s="3"/>
      <c r="V726" s="3"/>
      <c r="W726" s="3"/>
      <c r="X726" s="3"/>
      <c r="Y726" s="3"/>
    </row>
    <row r="727" spans="3:25" x14ac:dyDescent="0.2">
      <c r="C727" s="3"/>
      <c r="E727" s="3"/>
      <c r="G727" s="3"/>
      <c r="I727" s="3"/>
      <c r="K727" s="3"/>
      <c r="M727" s="3"/>
      <c r="O727" s="3"/>
      <c r="Q727" s="3"/>
      <c r="S727" s="3"/>
      <c r="U727" s="3"/>
      <c r="V727" s="3"/>
      <c r="W727" s="3"/>
      <c r="X727" s="3"/>
      <c r="Y727" s="3"/>
    </row>
    <row r="728" spans="3:25" x14ac:dyDescent="0.2">
      <c r="C728" s="3"/>
      <c r="E728" s="3"/>
      <c r="G728" s="3"/>
      <c r="I728" s="3"/>
      <c r="K728" s="3"/>
      <c r="M728" s="3"/>
      <c r="O728" s="3"/>
      <c r="Q728" s="3"/>
      <c r="S728" s="3"/>
      <c r="U728" s="3"/>
      <c r="V728" s="3"/>
      <c r="W728" s="3"/>
      <c r="X728" s="3"/>
      <c r="Y728" s="3"/>
    </row>
    <row r="729" spans="3:25" x14ac:dyDescent="0.2">
      <c r="C729" s="3"/>
      <c r="E729" s="3"/>
      <c r="G729" s="3"/>
      <c r="I729" s="3"/>
      <c r="K729" s="3"/>
      <c r="M729" s="3"/>
      <c r="O729" s="3"/>
      <c r="Q729" s="3"/>
      <c r="S729" s="3"/>
      <c r="U729" s="3"/>
      <c r="V729" s="3"/>
      <c r="W729" s="3"/>
      <c r="X729" s="3"/>
      <c r="Y729" s="3"/>
    </row>
    <row r="730" spans="3:25" x14ac:dyDescent="0.2">
      <c r="C730" s="3"/>
      <c r="E730" s="3"/>
      <c r="G730" s="3"/>
      <c r="I730" s="3"/>
      <c r="K730" s="3"/>
      <c r="M730" s="3"/>
      <c r="O730" s="3"/>
      <c r="Q730" s="3"/>
      <c r="S730" s="3"/>
      <c r="U730" s="3"/>
      <c r="V730" s="3"/>
      <c r="W730" s="3"/>
      <c r="X730" s="3"/>
      <c r="Y730" s="3"/>
    </row>
    <row r="731" spans="3:25" x14ac:dyDescent="0.2">
      <c r="C731" s="3"/>
      <c r="E731" s="3"/>
      <c r="G731" s="3"/>
      <c r="I731" s="3"/>
      <c r="K731" s="3"/>
      <c r="M731" s="3"/>
      <c r="O731" s="3"/>
      <c r="Q731" s="3"/>
      <c r="S731" s="3"/>
      <c r="U731" s="3"/>
      <c r="V731" s="3"/>
      <c r="W731" s="3"/>
      <c r="X731" s="3"/>
      <c r="Y731" s="3"/>
    </row>
    <row r="732" spans="3:25" x14ac:dyDescent="0.2">
      <c r="C732" s="3"/>
      <c r="E732" s="3"/>
      <c r="G732" s="3"/>
      <c r="I732" s="3"/>
      <c r="K732" s="3"/>
      <c r="M732" s="3"/>
      <c r="O732" s="3"/>
      <c r="Q732" s="3"/>
      <c r="S732" s="3"/>
      <c r="U732" s="3"/>
      <c r="V732" s="3"/>
      <c r="W732" s="3"/>
      <c r="X732" s="3"/>
      <c r="Y732" s="3"/>
    </row>
    <row r="733" spans="3:25" x14ac:dyDescent="0.2">
      <c r="C733" s="3"/>
      <c r="E733" s="3"/>
      <c r="G733" s="3"/>
      <c r="I733" s="3"/>
      <c r="K733" s="3"/>
      <c r="M733" s="3"/>
      <c r="O733" s="3"/>
      <c r="Q733" s="3"/>
      <c r="S733" s="3"/>
      <c r="U733" s="3"/>
      <c r="V733" s="3"/>
      <c r="W733" s="3"/>
      <c r="X733" s="3"/>
      <c r="Y733" s="3"/>
    </row>
    <row r="734" spans="3:25" x14ac:dyDescent="0.2">
      <c r="C734" s="3"/>
      <c r="E734" s="3"/>
      <c r="G734" s="3"/>
      <c r="I734" s="3"/>
      <c r="K734" s="3"/>
      <c r="M734" s="3"/>
      <c r="O734" s="3"/>
      <c r="Q734" s="3"/>
      <c r="S734" s="3"/>
      <c r="U734" s="3"/>
      <c r="V734" s="3"/>
      <c r="W734" s="3"/>
      <c r="X734" s="3"/>
      <c r="Y734" s="3"/>
    </row>
    <row r="735" spans="3:25" x14ac:dyDescent="0.2">
      <c r="C735" s="3"/>
      <c r="E735" s="3"/>
      <c r="G735" s="3"/>
      <c r="I735" s="3"/>
      <c r="K735" s="3"/>
      <c r="M735" s="3"/>
      <c r="O735" s="3"/>
      <c r="Q735" s="3"/>
      <c r="S735" s="3"/>
      <c r="U735" s="3"/>
      <c r="V735" s="3"/>
      <c r="W735" s="3"/>
      <c r="X735" s="3"/>
      <c r="Y735" s="3"/>
    </row>
    <row r="736" spans="3:25" x14ac:dyDescent="0.2">
      <c r="C736" s="3"/>
      <c r="E736" s="3"/>
      <c r="G736" s="3"/>
      <c r="I736" s="3"/>
      <c r="K736" s="3"/>
      <c r="M736" s="3"/>
      <c r="O736" s="3"/>
      <c r="Q736" s="3"/>
      <c r="S736" s="3"/>
      <c r="U736" s="3"/>
      <c r="V736" s="3"/>
      <c r="W736" s="3"/>
      <c r="X736" s="3"/>
      <c r="Y736" s="3"/>
    </row>
    <row r="737" spans="3:25" x14ac:dyDescent="0.2">
      <c r="C737" s="3"/>
      <c r="E737" s="3"/>
      <c r="G737" s="3"/>
      <c r="I737" s="3"/>
      <c r="K737" s="3"/>
      <c r="M737" s="3"/>
      <c r="O737" s="3"/>
      <c r="Q737" s="3"/>
      <c r="S737" s="3"/>
      <c r="U737" s="3"/>
      <c r="V737" s="3"/>
      <c r="W737" s="3"/>
      <c r="X737" s="3"/>
      <c r="Y737" s="3"/>
    </row>
    <row r="738" spans="3:25" x14ac:dyDescent="0.2">
      <c r="C738" s="3"/>
      <c r="E738" s="3"/>
      <c r="G738" s="3"/>
      <c r="I738" s="3"/>
      <c r="K738" s="3"/>
      <c r="M738" s="3"/>
      <c r="O738" s="3"/>
      <c r="Q738" s="3"/>
      <c r="S738" s="3"/>
      <c r="U738" s="3"/>
      <c r="V738" s="3"/>
      <c r="W738" s="3"/>
      <c r="X738" s="3"/>
      <c r="Y738" s="3"/>
    </row>
    <row r="739" spans="3:25" x14ac:dyDescent="0.2">
      <c r="C739" s="3"/>
      <c r="E739" s="3"/>
      <c r="G739" s="3"/>
      <c r="I739" s="3"/>
      <c r="K739" s="3"/>
      <c r="M739" s="3"/>
      <c r="O739" s="3"/>
      <c r="Q739" s="3"/>
      <c r="S739" s="3"/>
      <c r="U739" s="3"/>
      <c r="V739" s="3"/>
      <c r="W739" s="3"/>
      <c r="X739" s="3"/>
      <c r="Y739" s="3"/>
    </row>
    <row r="740" spans="3:25" x14ac:dyDescent="0.2">
      <c r="C740" s="3"/>
      <c r="E740" s="3"/>
      <c r="G740" s="3"/>
      <c r="I740" s="3"/>
      <c r="K740" s="3"/>
      <c r="M740" s="3"/>
      <c r="O740" s="3"/>
      <c r="Q740" s="3"/>
      <c r="S740" s="3"/>
      <c r="U740" s="3"/>
      <c r="V740" s="3"/>
      <c r="W740" s="3"/>
      <c r="X740" s="3"/>
      <c r="Y740" s="3"/>
    </row>
    <row r="741" spans="3:25" x14ac:dyDescent="0.2">
      <c r="C741" s="3"/>
      <c r="E741" s="3"/>
      <c r="G741" s="3"/>
      <c r="I741" s="3"/>
      <c r="K741" s="3"/>
      <c r="M741" s="3"/>
      <c r="O741" s="3"/>
      <c r="Q741" s="3"/>
      <c r="S741" s="3"/>
      <c r="U741" s="3"/>
      <c r="V741" s="3"/>
      <c r="W741" s="3"/>
      <c r="X741" s="3"/>
      <c r="Y741" s="3"/>
    </row>
    <row r="742" spans="3:25" x14ac:dyDescent="0.2">
      <c r="C742" s="3"/>
      <c r="E742" s="3"/>
      <c r="G742" s="3"/>
      <c r="I742" s="3"/>
      <c r="K742" s="3"/>
      <c r="M742" s="3"/>
      <c r="O742" s="3"/>
      <c r="Q742" s="3"/>
      <c r="S742" s="3"/>
      <c r="U742" s="3"/>
      <c r="V742" s="3"/>
      <c r="W742" s="3"/>
      <c r="X742" s="3"/>
      <c r="Y742" s="3"/>
    </row>
    <row r="743" spans="3:25" x14ac:dyDescent="0.2">
      <c r="C743" s="3"/>
      <c r="E743" s="3"/>
      <c r="G743" s="3"/>
      <c r="I743" s="3"/>
      <c r="K743" s="3"/>
      <c r="M743" s="3"/>
      <c r="O743" s="3"/>
      <c r="Q743" s="3"/>
      <c r="S743" s="3"/>
      <c r="U743" s="3"/>
      <c r="V743" s="3"/>
      <c r="W743" s="3"/>
      <c r="X743" s="3"/>
      <c r="Y743" s="3"/>
    </row>
    <row r="744" spans="3:25" x14ac:dyDescent="0.2">
      <c r="C744" s="3"/>
      <c r="E744" s="3"/>
      <c r="G744" s="3"/>
      <c r="I744" s="3"/>
      <c r="K744" s="3"/>
      <c r="M744" s="3"/>
      <c r="O744" s="3"/>
      <c r="Q744" s="3"/>
      <c r="S744" s="3"/>
      <c r="U744" s="3"/>
      <c r="V744" s="3"/>
      <c r="W744" s="3"/>
      <c r="X744" s="3"/>
      <c r="Y744" s="3"/>
    </row>
    <row r="745" spans="3:25" x14ac:dyDescent="0.2">
      <c r="C745" s="3"/>
      <c r="E745" s="3"/>
      <c r="G745" s="3"/>
      <c r="I745" s="3"/>
      <c r="K745" s="3"/>
      <c r="M745" s="3"/>
      <c r="O745" s="3"/>
      <c r="Q745" s="3"/>
      <c r="S745" s="3"/>
      <c r="U745" s="3"/>
      <c r="V745" s="3"/>
      <c r="W745" s="3"/>
      <c r="X745" s="3"/>
      <c r="Y745" s="3"/>
    </row>
    <row r="746" spans="3:25" x14ac:dyDescent="0.2">
      <c r="C746" s="3"/>
      <c r="E746" s="3"/>
      <c r="G746" s="3"/>
      <c r="I746" s="3"/>
      <c r="K746" s="3"/>
      <c r="M746" s="3"/>
      <c r="O746" s="3"/>
      <c r="Q746" s="3"/>
      <c r="S746" s="3"/>
      <c r="U746" s="3"/>
      <c r="V746" s="3"/>
      <c r="W746" s="3"/>
      <c r="X746" s="3"/>
      <c r="Y746" s="3"/>
    </row>
    <row r="747" spans="3:25" x14ac:dyDescent="0.2">
      <c r="C747" s="3"/>
      <c r="E747" s="3"/>
      <c r="G747" s="3"/>
      <c r="I747" s="3"/>
      <c r="K747" s="3"/>
      <c r="M747" s="3"/>
      <c r="O747" s="3"/>
      <c r="Q747" s="3"/>
      <c r="S747" s="3"/>
      <c r="U747" s="3"/>
      <c r="V747" s="3"/>
      <c r="W747" s="3"/>
      <c r="X747" s="3"/>
      <c r="Y747" s="3"/>
    </row>
    <row r="748" spans="3:25" x14ac:dyDescent="0.2">
      <c r="C748" s="3"/>
      <c r="E748" s="3"/>
      <c r="G748" s="3"/>
      <c r="I748" s="3"/>
      <c r="K748" s="3"/>
      <c r="M748" s="3"/>
      <c r="O748" s="3"/>
      <c r="Q748" s="3"/>
      <c r="S748" s="3"/>
      <c r="U748" s="3"/>
      <c r="V748" s="3"/>
      <c r="W748" s="3"/>
      <c r="X748" s="3"/>
      <c r="Y748" s="3"/>
    </row>
    <row r="749" spans="3:25" x14ac:dyDescent="0.2">
      <c r="C749" s="3"/>
      <c r="E749" s="3"/>
      <c r="G749" s="3"/>
      <c r="I749" s="3"/>
      <c r="K749" s="3"/>
      <c r="M749" s="3"/>
      <c r="O749" s="3"/>
      <c r="Q749" s="3"/>
      <c r="S749" s="3"/>
      <c r="U749" s="3"/>
      <c r="V749" s="3"/>
      <c r="W749" s="3"/>
      <c r="X749" s="3"/>
      <c r="Y749" s="3"/>
    </row>
    <row r="750" spans="3:25" x14ac:dyDescent="0.2">
      <c r="C750" s="3"/>
      <c r="E750" s="3"/>
      <c r="G750" s="3"/>
      <c r="I750" s="3"/>
      <c r="K750" s="3"/>
      <c r="M750" s="3"/>
      <c r="O750" s="3"/>
      <c r="Q750" s="3"/>
      <c r="S750" s="3"/>
      <c r="U750" s="3"/>
      <c r="V750" s="3"/>
      <c r="W750" s="3"/>
      <c r="X750" s="3"/>
      <c r="Y750" s="3"/>
    </row>
    <row r="751" spans="3:25" x14ac:dyDescent="0.2">
      <c r="C751" s="3"/>
      <c r="E751" s="3"/>
      <c r="G751" s="3"/>
      <c r="I751" s="3"/>
      <c r="K751" s="3"/>
      <c r="M751" s="3"/>
      <c r="O751" s="3"/>
      <c r="Q751" s="3"/>
      <c r="S751" s="3"/>
      <c r="U751" s="3"/>
      <c r="V751" s="3"/>
      <c r="W751" s="3"/>
      <c r="X751" s="3"/>
      <c r="Y751" s="3"/>
    </row>
    <row r="752" spans="3:25" x14ac:dyDescent="0.2">
      <c r="C752" s="3"/>
      <c r="E752" s="3"/>
      <c r="G752" s="3"/>
      <c r="I752" s="3"/>
      <c r="K752" s="3"/>
      <c r="M752" s="3"/>
      <c r="O752" s="3"/>
      <c r="Q752" s="3"/>
      <c r="S752" s="3"/>
      <c r="U752" s="3"/>
      <c r="V752" s="3"/>
      <c r="W752" s="3"/>
      <c r="X752" s="3"/>
      <c r="Y752" s="3"/>
    </row>
    <row r="753" spans="3:25" x14ac:dyDescent="0.2">
      <c r="C753" s="3"/>
      <c r="E753" s="3"/>
      <c r="G753" s="3"/>
      <c r="I753" s="3"/>
      <c r="K753" s="3"/>
      <c r="M753" s="3"/>
      <c r="O753" s="3"/>
      <c r="Q753" s="3"/>
      <c r="S753" s="3"/>
      <c r="U753" s="3"/>
      <c r="V753" s="3"/>
      <c r="W753" s="3"/>
      <c r="X753" s="3"/>
      <c r="Y753" s="3"/>
    </row>
    <row r="754" spans="3:25" x14ac:dyDescent="0.2">
      <c r="C754" s="3"/>
      <c r="E754" s="3"/>
      <c r="G754" s="3"/>
      <c r="I754" s="3"/>
      <c r="K754" s="3"/>
      <c r="M754" s="3"/>
      <c r="O754" s="3"/>
      <c r="Q754" s="3"/>
      <c r="S754" s="3"/>
      <c r="U754" s="3"/>
      <c r="V754" s="3"/>
      <c r="W754" s="3"/>
      <c r="X754" s="3"/>
      <c r="Y754" s="3"/>
    </row>
    <row r="755" spans="3:25" x14ac:dyDescent="0.2">
      <c r="C755" s="3"/>
      <c r="E755" s="3"/>
      <c r="G755" s="3"/>
      <c r="I755" s="3"/>
      <c r="K755" s="3"/>
      <c r="M755" s="3"/>
      <c r="O755" s="3"/>
      <c r="Q755" s="3"/>
      <c r="S755" s="3"/>
      <c r="U755" s="3"/>
      <c r="V755" s="3"/>
      <c r="W755" s="3"/>
      <c r="X755" s="3"/>
      <c r="Y755" s="3"/>
    </row>
    <row r="756" spans="3:25" x14ac:dyDescent="0.2">
      <c r="C756" s="3"/>
      <c r="E756" s="3"/>
      <c r="G756" s="3"/>
      <c r="I756" s="3"/>
      <c r="K756" s="3"/>
      <c r="M756" s="3"/>
      <c r="O756" s="3"/>
      <c r="Q756" s="3"/>
      <c r="S756" s="3"/>
      <c r="U756" s="3"/>
      <c r="V756" s="3"/>
      <c r="W756" s="3"/>
      <c r="X756" s="3"/>
      <c r="Y756" s="3"/>
    </row>
    <row r="757" spans="3:25" x14ac:dyDescent="0.2">
      <c r="C757" s="3"/>
      <c r="E757" s="3"/>
      <c r="G757" s="3"/>
      <c r="I757" s="3"/>
      <c r="K757" s="3"/>
      <c r="M757" s="3"/>
      <c r="O757" s="3"/>
      <c r="Q757" s="3"/>
      <c r="S757" s="3"/>
      <c r="U757" s="3"/>
      <c r="V757" s="3"/>
      <c r="W757" s="3"/>
      <c r="X757" s="3"/>
      <c r="Y757" s="3"/>
    </row>
    <row r="758" spans="3:25" x14ac:dyDescent="0.2">
      <c r="C758" s="3"/>
      <c r="E758" s="3"/>
      <c r="G758" s="3"/>
      <c r="I758" s="3"/>
      <c r="K758" s="3"/>
      <c r="M758" s="3"/>
      <c r="O758" s="3"/>
      <c r="Q758" s="3"/>
      <c r="S758" s="3"/>
      <c r="U758" s="3"/>
      <c r="V758" s="3"/>
      <c r="W758" s="3"/>
      <c r="X758" s="3"/>
      <c r="Y758" s="3"/>
    </row>
    <row r="759" spans="3:25" x14ac:dyDescent="0.2">
      <c r="C759" s="3"/>
      <c r="E759" s="3"/>
      <c r="G759" s="3"/>
      <c r="I759" s="3"/>
      <c r="K759" s="3"/>
      <c r="M759" s="3"/>
      <c r="O759" s="3"/>
      <c r="Q759" s="3"/>
      <c r="S759" s="3"/>
      <c r="U759" s="3"/>
      <c r="V759" s="3"/>
      <c r="W759" s="3"/>
      <c r="X759" s="3"/>
      <c r="Y759" s="3"/>
    </row>
    <row r="760" spans="3:25" x14ac:dyDescent="0.2">
      <c r="C760" s="3"/>
      <c r="E760" s="3"/>
      <c r="G760" s="3"/>
      <c r="I760" s="3"/>
      <c r="K760" s="3"/>
      <c r="M760" s="3"/>
      <c r="O760" s="3"/>
      <c r="Q760" s="3"/>
      <c r="S760" s="3"/>
      <c r="U760" s="3"/>
      <c r="V760" s="3"/>
      <c r="W760" s="3"/>
      <c r="X760" s="3"/>
      <c r="Y760" s="3"/>
    </row>
    <row r="761" spans="3:25" x14ac:dyDescent="0.2">
      <c r="C761" s="3"/>
      <c r="E761" s="3"/>
      <c r="G761" s="3"/>
      <c r="I761" s="3"/>
      <c r="K761" s="3"/>
      <c r="M761" s="3"/>
      <c r="O761" s="3"/>
      <c r="Q761" s="3"/>
      <c r="S761" s="3"/>
      <c r="U761" s="3"/>
      <c r="V761" s="3"/>
      <c r="W761" s="3"/>
      <c r="X761" s="3"/>
      <c r="Y761" s="3"/>
    </row>
    <row r="762" spans="3:25" x14ac:dyDescent="0.2">
      <c r="C762" s="3"/>
      <c r="E762" s="3"/>
      <c r="G762" s="3"/>
      <c r="I762" s="3"/>
      <c r="K762" s="3"/>
      <c r="M762" s="3"/>
      <c r="O762" s="3"/>
      <c r="Q762" s="3"/>
      <c r="S762" s="3"/>
      <c r="U762" s="3"/>
      <c r="V762" s="3"/>
      <c r="W762" s="3"/>
      <c r="X762" s="3"/>
      <c r="Y762" s="3"/>
    </row>
    <row r="763" spans="3:25" x14ac:dyDescent="0.2">
      <c r="C763" s="3"/>
      <c r="E763" s="3"/>
      <c r="G763" s="3"/>
      <c r="I763" s="3"/>
      <c r="K763" s="3"/>
      <c r="M763" s="3"/>
      <c r="O763" s="3"/>
      <c r="Q763" s="3"/>
      <c r="S763" s="3"/>
      <c r="U763" s="3"/>
      <c r="V763" s="3"/>
      <c r="W763" s="3"/>
      <c r="X763" s="3"/>
      <c r="Y763" s="3"/>
    </row>
    <row r="764" spans="3:25" x14ac:dyDescent="0.2">
      <c r="C764" s="3"/>
      <c r="E764" s="3"/>
      <c r="G764" s="3"/>
      <c r="I764" s="3"/>
      <c r="K764" s="3"/>
      <c r="M764" s="3"/>
      <c r="O764" s="3"/>
      <c r="Q764" s="3"/>
      <c r="S764" s="3"/>
      <c r="U764" s="3"/>
      <c r="V764" s="3"/>
      <c r="W764" s="3"/>
      <c r="X764" s="3"/>
      <c r="Y764" s="3"/>
    </row>
    <row r="765" spans="3:25" x14ac:dyDescent="0.2">
      <c r="C765" s="3"/>
      <c r="E765" s="3"/>
      <c r="G765" s="3"/>
      <c r="I765" s="3"/>
      <c r="K765" s="3"/>
      <c r="M765" s="3"/>
      <c r="O765" s="3"/>
      <c r="Q765" s="3"/>
      <c r="S765" s="3"/>
      <c r="U765" s="3"/>
      <c r="V765" s="3"/>
      <c r="W765" s="3"/>
      <c r="X765" s="3"/>
      <c r="Y765" s="3"/>
    </row>
    <row r="766" spans="3:25" x14ac:dyDescent="0.2">
      <c r="C766" s="3"/>
      <c r="E766" s="3"/>
      <c r="G766" s="3"/>
      <c r="I766" s="3"/>
      <c r="K766" s="3"/>
      <c r="M766" s="3"/>
      <c r="O766" s="3"/>
      <c r="Q766" s="3"/>
      <c r="S766" s="3"/>
      <c r="U766" s="3"/>
      <c r="V766" s="3"/>
      <c r="W766" s="3"/>
      <c r="X766" s="3"/>
      <c r="Y766" s="3"/>
    </row>
    <row r="767" spans="3:25" x14ac:dyDescent="0.2">
      <c r="C767" s="3"/>
      <c r="E767" s="3"/>
      <c r="G767" s="3"/>
      <c r="I767" s="3"/>
      <c r="K767" s="3"/>
      <c r="M767" s="3"/>
      <c r="O767" s="3"/>
      <c r="Q767" s="3"/>
      <c r="S767" s="3"/>
      <c r="U767" s="3"/>
      <c r="V767" s="3"/>
      <c r="W767" s="3"/>
      <c r="X767" s="3"/>
      <c r="Y767" s="3"/>
    </row>
    <row r="768" spans="3:25" x14ac:dyDescent="0.2">
      <c r="C768" s="3"/>
      <c r="E768" s="3"/>
      <c r="G768" s="3"/>
      <c r="I768" s="3"/>
      <c r="K768" s="3"/>
      <c r="M768" s="3"/>
      <c r="O768" s="3"/>
      <c r="Q768" s="3"/>
      <c r="S768" s="3"/>
      <c r="U768" s="3"/>
      <c r="V768" s="3"/>
      <c r="W768" s="3"/>
      <c r="X768" s="3"/>
      <c r="Y768" s="3"/>
    </row>
    <row r="769" spans="3:25" x14ac:dyDescent="0.2">
      <c r="C769" s="3"/>
      <c r="E769" s="3"/>
      <c r="G769" s="3"/>
      <c r="I769" s="3"/>
      <c r="K769" s="3"/>
      <c r="M769" s="3"/>
      <c r="O769" s="3"/>
      <c r="Q769" s="3"/>
      <c r="S769" s="3"/>
      <c r="U769" s="3"/>
      <c r="V769" s="3"/>
      <c r="W769" s="3"/>
      <c r="X769" s="3"/>
      <c r="Y769" s="3"/>
    </row>
    <row r="770" spans="3:25" x14ac:dyDescent="0.2">
      <c r="C770" s="3"/>
      <c r="E770" s="3"/>
      <c r="G770" s="3"/>
      <c r="I770" s="3"/>
      <c r="K770" s="3"/>
      <c r="M770" s="3"/>
      <c r="O770" s="3"/>
      <c r="Q770" s="3"/>
      <c r="S770" s="3"/>
      <c r="U770" s="3"/>
      <c r="V770" s="3"/>
      <c r="W770" s="3"/>
      <c r="X770" s="3"/>
      <c r="Y770" s="3"/>
    </row>
    <row r="771" spans="3:25" x14ac:dyDescent="0.2">
      <c r="C771" s="3"/>
      <c r="E771" s="3"/>
      <c r="G771" s="3"/>
      <c r="I771" s="3"/>
      <c r="K771" s="3"/>
      <c r="M771" s="3"/>
      <c r="O771" s="3"/>
      <c r="Q771" s="3"/>
      <c r="S771" s="3"/>
      <c r="U771" s="3"/>
      <c r="V771" s="3"/>
      <c r="W771" s="3"/>
      <c r="X771" s="3"/>
      <c r="Y771" s="3"/>
    </row>
    <row r="772" spans="3:25" x14ac:dyDescent="0.2">
      <c r="C772" s="3"/>
      <c r="E772" s="3"/>
      <c r="G772" s="3"/>
      <c r="I772" s="3"/>
      <c r="K772" s="3"/>
      <c r="M772" s="3"/>
      <c r="O772" s="3"/>
      <c r="Q772" s="3"/>
      <c r="S772" s="3"/>
      <c r="U772" s="3"/>
      <c r="V772" s="3"/>
      <c r="W772" s="3"/>
      <c r="X772" s="3"/>
      <c r="Y772" s="3"/>
    </row>
    <row r="773" spans="3:25" x14ac:dyDescent="0.2">
      <c r="C773" s="3"/>
      <c r="E773" s="3"/>
      <c r="G773" s="3"/>
      <c r="I773" s="3"/>
      <c r="K773" s="3"/>
      <c r="M773" s="3"/>
      <c r="O773" s="3"/>
      <c r="Q773" s="3"/>
      <c r="S773" s="3"/>
      <c r="U773" s="3"/>
      <c r="V773" s="3"/>
      <c r="W773" s="3"/>
      <c r="X773" s="3"/>
      <c r="Y773" s="3"/>
    </row>
    <row r="774" spans="3:25" x14ac:dyDescent="0.2">
      <c r="C774" s="3"/>
      <c r="E774" s="3"/>
      <c r="G774" s="3"/>
      <c r="I774" s="3"/>
      <c r="K774" s="3"/>
      <c r="M774" s="3"/>
      <c r="O774" s="3"/>
      <c r="Q774" s="3"/>
      <c r="S774" s="3"/>
      <c r="U774" s="3"/>
      <c r="V774" s="3"/>
      <c r="W774" s="3"/>
      <c r="X774" s="3"/>
      <c r="Y774" s="3"/>
    </row>
    <row r="775" spans="3:25" x14ac:dyDescent="0.2">
      <c r="C775" s="3"/>
      <c r="E775" s="3"/>
      <c r="G775" s="3"/>
      <c r="I775" s="3"/>
      <c r="K775" s="3"/>
      <c r="M775" s="3"/>
      <c r="O775" s="3"/>
      <c r="Q775" s="3"/>
      <c r="S775" s="3"/>
      <c r="U775" s="3"/>
      <c r="V775" s="3"/>
      <c r="W775" s="3"/>
      <c r="X775" s="3"/>
      <c r="Y775" s="3"/>
    </row>
    <row r="776" spans="3:25" x14ac:dyDescent="0.2">
      <c r="C776" s="3"/>
      <c r="E776" s="3"/>
      <c r="G776" s="3"/>
      <c r="I776" s="3"/>
      <c r="K776" s="3"/>
      <c r="M776" s="3"/>
      <c r="O776" s="3"/>
      <c r="Q776" s="3"/>
      <c r="S776" s="3"/>
      <c r="U776" s="3"/>
      <c r="V776" s="3"/>
      <c r="W776" s="3"/>
      <c r="X776" s="3"/>
      <c r="Y776" s="3"/>
    </row>
    <row r="777" spans="3:25" x14ac:dyDescent="0.2">
      <c r="C777" s="3"/>
      <c r="E777" s="3"/>
      <c r="G777" s="3"/>
      <c r="I777" s="3"/>
      <c r="K777" s="3"/>
      <c r="M777" s="3"/>
      <c r="O777" s="3"/>
      <c r="Q777" s="3"/>
      <c r="S777" s="3"/>
      <c r="U777" s="3"/>
      <c r="V777" s="3"/>
      <c r="W777" s="3"/>
      <c r="X777" s="3"/>
      <c r="Y777" s="3"/>
    </row>
    <row r="778" spans="3:25" x14ac:dyDescent="0.2">
      <c r="C778" s="3"/>
      <c r="E778" s="3"/>
      <c r="G778" s="3"/>
      <c r="I778" s="3"/>
      <c r="K778" s="3"/>
      <c r="M778" s="3"/>
      <c r="O778" s="3"/>
      <c r="Q778" s="3"/>
      <c r="S778" s="3"/>
      <c r="U778" s="3"/>
      <c r="V778" s="3"/>
      <c r="W778" s="3"/>
      <c r="X778" s="3"/>
      <c r="Y778" s="3"/>
    </row>
    <row r="779" spans="3:25" x14ac:dyDescent="0.2">
      <c r="C779" s="3"/>
      <c r="E779" s="3"/>
      <c r="G779" s="3"/>
      <c r="I779" s="3"/>
      <c r="K779" s="3"/>
      <c r="M779" s="3"/>
      <c r="O779" s="3"/>
      <c r="Q779" s="3"/>
      <c r="S779" s="3"/>
      <c r="U779" s="3"/>
      <c r="V779" s="3"/>
      <c r="W779" s="3"/>
      <c r="X779" s="3"/>
      <c r="Y779" s="3"/>
    </row>
    <row r="780" spans="3:25" x14ac:dyDescent="0.2">
      <c r="C780" s="3"/>
      <c r="E780" s="3"/>
      <c r="G780" s="3"/>
      <c r="I780" s="3"/>
      <c r="K780" s="3"/>
      <c r="M780" s="3"/>
      <c r="O780" s="3"/>
      <c r="Q780" s="3"/>
      <c r="S780" s="3"/>
      <c r="U780" s="3"/>
      <c r="V780" s="3"/>
      <c r="W780" s="3"/>
      <c r="X780" s="3"/>
      <c r="Y780" s="3"/>
    </row>
    <row r="781" spans="3:25" x14ac:dyDescent="0.2">
      <c r="C781" s="3"/>
      <c r="E781" s="3"/>
      <c r="G781" s="3"/>
      <c r="I781" s="3"/>
      <c r="K781" s="3"/>
      <c r="M781" s="3"/>
      <c r="O781" s="3"/>
      <c r="Q781" s="3"/>
      <c r="S781" s="3"/>
      <c r="U781" s="3"/>
      <c r="V781" s="3"/>
      <c r="W781" s="3"/>
      <c r="X781" s="3"/>
      <c r="Y781" s="3"/>
    </row>
    <row r="782" spans="3:25" x14ac:dyDescent="0.2">
      <c r="C782" s="3"/>
      <c r="E782" s="3"/>
      <c r="G782" s="3"/>
      <c r="I782" s="3"/>
      <c r="K782" s="3"/>
      <c r="M782" s="3"/>
      <c r="O782" s="3"/>
      <c r="Q782" s="3"/>
      <c r="S782" s="3"/>
      <c r="U782" s="3"/>
      <c r="V782" s="3"/>
      <c r="W782" s="3"/>
      <c r="X782" s="3"/>
      <c r="Y782" s="3"/>
    </row>
    <row r="783" spans="3:25" x14ac:dyDescent="0.2">
      <c r="C783" s="3"/>
      <c r="E783" s="3"/>
      <c r="G783" s="3"/>
      <c r="I783" s="3"/>
      <c r="K783" s="3"/>
      <c r="M783" s="3"/>
      <c r="O783" s="3"/>
      <c r="Q783" s="3"/>
      <c r="S783" s="3"/>
      <c r="U783" s="3"/>
      <c r="V783" s="3"/>
      <c r="W783" s="3"/>
      <c r="X783" s="3"/>
      <c r="Y783" s="3"/>
    </row>
    <row r="784" spans="3:25" x14ac:dyDescent="0.2">
      <c r="C784" s="3"/>
      <c r="E784" s="3"/>
      <c r="G784" s="3"/>
      <c r="I784" s="3"/>
      <c r="K784" s="3"/>
      <c r="M784" s="3"/>
      <c r="O784" s="3"/>
      <c r="Q784" s="3"/>
      <c r="S784" s="3"/>
      <c r="U784" s="3"/>
      <c r="V784" s="3"/>
      <c r="W784" s="3"/>
      <c r="X784" s="3"/>
      <c r="Y784" s="3"/>
    </row>
    <row r="785" spans="3:25" x14ac:dyDescent="0.2">
      <c r="C785" s="3"/>
      <c r="E785" s="3"/>
      <c r="G785" s="3"/>
      <c r="I785" s="3"/>
      <c r="K785" s="3"/>
      <c r="M785" s="3"/>
      <c r="O785" s="3"/>
      <c r="Q785" s="3"/>
      <c r="S785" s="3"/>
      <c r="U785" s="3"/>
      <c r="V785" s="3"/>
      <c r="W785" s="3"/>
      <c r="X785" s="3"/>
      <c r="Y785" s="3"/>
    </row>
    <row r="786" spans="3:25" x14ac:dyDescent="0.2">
      <c r="C786" s="3"/>
      <c r="E786" s="3"/>
      <c r="G786" s="3"/>
      <c r="I786" s="3"/>
      <c r="K786" s="3"/>
      <c r="M786" s="3"/>
      <c r="O786" s="3"/>
      <c r="Q786" s="3"/>
      <c r="S786" s="3"/>
      <c r="U786" s="3"/>
      <c r="V786" s="3"/>
      <c r="W786" s="3"/>
      <c r="X786" s="3"/>
      <c r="Y786" s="3"/>
    </row>
    <row r="787" spans="3:25" x14ac:dyDescent="0.2">
      <c r="C787" s="3"/>
      <c r="E787" s="3"/>
      <c r="G787" s="3"/>
      <c r="I787" s="3"/>
      <c r="K787" s="3"/>
      <c r="M787" s="3"/>
      <c r="O787" s="3"/>
      <c r="Q787" s="3"/>
      <c r="S787" s="3"/>
      <c r="U787" s="3"/>
      <c r="V787" s="3"/>
      <c r="W787" s="3"/>
      <c r="X787" s="3"/>
      <c r="Y787" s="3"/>
    </row>
    <row r="788" spans="3:25" x14ac:dyDescent="0.2">
      <c r="C788" s="3"/>
      <c r="E788" s="3"/>
      <c r="G788" s="3"/>
      <c r="I788" s="3"/>
      <c r="K788" s="3"/>
      <c r="M788" s="3"/>
      <c r="O788" s="3"/>
      <c r="Q788" s="3"/>
      <c r="S788" s="3"/>
      <c r="U788" s="3"/>
      <c r="V788" s="3"/>
      <c r="W788" s="3"/>
      <c r="X788" s="3"/>
      <c r="Y788" s="3"/>
    </row>
    <row r="789" spans="3:25" x14ac:dyDescent="0.2">
      <c r="C789" s="3"/>
      <c r="E789" s="3"/>
      <c r="G789" s="3"/>
      <c r="I789" s="3"/>
      <c r="K789" s="3"/>
      <c r="M789" s="3"/>
      <c r="O789" s="3"/>
      <c r="Q789" s="3"/>
      <c r="S789" s="3"/>
      <c r="U789" s="3"/>
      <c r="V789" s="3"/>
      <c r="W789" s="3"/>
      <c r="X789" s="3"/>
      <c r="Y789" s="3"/>
    </row>
    <row r="790" spans="3:25" x14ac:dyDescent="0.2">
      <c r="C790" s="3"/>
      <c r="E790" s="3"/>
      <c r="G790" s="3"/>
      <c r="I790" s="3"/>
      <c r="K790" s="3"/>
      <c r="M790" s="3"/>
      <c r="O790" s="3"/>
      <c r="Q790" s="3"/>
      <c r="S790" s="3"/>
      <c r="U790" s="3"/>
      <c r="V790" s="3"/>
      <c r="W790" s="3"/>
      <c r="X790" s="3"/>
      <c r="Y790" s="3"/>
    </row>
    <row r="791" spans="3:25" x14ac:dyDescent="0.2">
      <c r="C791" s="3"/>
      <c r="E791" s="3"/>
      <c r="G791" s="3"/>
      <c r="I791" s="3"/>
      <c r="K791" s="3"/>
      <c r="M791" s="3"/>
      <c r="O791" s="3"/>
      <c r="Q791" s="3"/>
      <c r="S791" s="3"/>
      <c r="U791" s="3"/>
      <c r="V791" s="3"/>
      <c r="W791" s="3"/>
      <c r="X791" s="3"/>
      <c r="Y791" s="3"/>
    </row>
    <row r="792" spans="3:25" x14ac:dyDescent="0.2">
      <c r="C792" s="3"/>
      <c r="E792" s="3"/>
      <c r="G792" s="3"/>
      <c r="I792" s="3"/>
      <c r="K792" s="3"/>
      <c r="M792" s="3"/>
      <c r="O792" s="3"/>
      <c r="Q792" s="3"/>
      <c r="S792" s="3"/>
      <c r="U792" s="3"/>
      <c r="V792" s="3"/>
      <c r="W792" s="3"/>
      <c r="X792" s="3"/>
      <c r="Y792" s="3"/>
    </row>
    <row r="793" spans="3:25" x14ac:dyDescent="0.2">
      <c r="C793" s="3"/>
      <c r="E793" s="3"/>
      <c r="G793" s="3"/>
      <c r="I793" s="3"/>
      <c r="K793" s="3"/>
      <c r="M793" s="3"/>
      <c r="O793" s="3"/>
      <c r="Q793" s="3"/>
      <c r="S793" s="3"/>
      <c r="U793" s="3"/>
      <c r="V793" s="3"/>
      <c r="W793" s="3"/>
      <c r="X793" s="3"/>
      <c r="Y793" s="3"/>
    </row>
    <row r="794" spans="3:25" x14ac:dyDescent="0.2">
      <c r="C794" s="3"/>
      <c r="E794" s="3"/>
      <c r="G794" s="3"/>
      <c r="I794" s="3"/>
      <c r="K794" s="3"/>
      <c r="M794" s="3"/>
      <c r="O794" s="3"/>
      <c r="Q794" s="3"/>
      <c r="S794" s="3"/>
      <c r="U794" s="3"/>
      <c r="V794" s="3"/>
      <c r="W794" s="3"/>
      <c r="X794" s="3"/>
      <c r="Y794" s="3"/>
    </row>
    <row r="795" spans="3:25" x14ac:dyDescent="0.2">
      <c r="C795" s="3"/>
      <c r="E795" s="3"/>
      <c r="G795" s="3"/>
      <c r="I795" s="3"/>
      <c r="K795" s="3"/>
      <c r="M795" s="3"/>
      <c r="O795" s="3"/>
      <c r="Q795" s="3"/>
      <c r="S795" s="3"/>
      <c r="U795" s="3"/>
      <c r="V795" s="3"/>
      <c r="W795" s="3"/>
      <c r="X795" s="3"/>
      <c r="Y795" s="3"/>
    </row>
    <row r="796" spans="3:25" x14ac:dyDescent="0.2">
      <c r="C796" s="3"/>
      <c r="E796" s="3"/>
      <c r="G796" s="3"/>
      <c r="I796" s="3"/>
      <c r="K796" s="3"/>
      <c r="M796" s="3"/>
      <c r="O796" s="3"/>
      <c r="Q796" s="3"/>
      <c r="S796" s="3"/>
      <c r="U796" s="3"/>
      <c r="V796" s="3"/>
      <c r="W796" s="3"/>
      <c r="X796" s="3"/>
      <c r="Y796" s="3"/>
    </row>
    <row r="797" spans="3:25" x14ac:dyDescent="0.2">
      <c r="C797" s="3"/>
      <c r="E797" s="3"/>
      <c r="G797" s="3"/>
      <c r="I797" s="3"/>
      <c r="K797" s="3"/>
      <c r="M797" s="3"/>
      <c r="O797" s="3"/>
      <c r="Q797" s="3"/>
      <c r="S797" s="3"/>
      <c r="U797" s="3"/>
      <c r="V797" s="3"/>
      <c r="W797" s="3"/>
      <c r="X797" s="3"/>
      <c r="Y797" s="3"/>
    </row>
    <row r="798" spans="3:25" x14ac:dyDescent="0.2">
      <c r="C798" s="3"/>
      <c r="E798" s="3"/>
      <c r="G798" s="3"/>
      <c r="I798" s="3"/>
      <c r="K798" s="3"/>
      <c r="M798" s="3"/>
      <c r="O798" s="3"/>
      <c r="Q798" s="3"/>
      <c r="S798" s="3"/>
      <c r="U798" s="3"/>
      <c r="V798" s="3"/>
      <c r="W798" s="3"/>
      <c r="X798" s="3"/>
      <c r="Y798" s="3"/>
    </row>
    <row r="799" spans="3:25" x14ac:dyDescent="0.2">
      <c r="C799" s="3"/>
      <c r="E799" s="3"/>
      <c r="G799" s="3"/>
      <c r="I799" s="3"/>
      <c r="K799" s="3"/>
      <c r="M799" s="3"/>
      <c r="O799" s="3"/>
      <c r="Q799" s="3"/>
      <c r="S799" s="3"/>
      <c r="U799" s="3"/>
      <c r="V799" s="3"/>
      <c r="W799" s="3"/>
      <c r="X799" s="3"/>
      <c r="Y799" s="3"/>
    </row>
    <row r="800" spans="3:25" x14ac:dyDescent="0.2">
      <c r="C800" s="3"/>
      <c r="E800" s="3"/>
      <c r="G800" s="3"/>
      <c r="I800" s="3"/>
      <c r="K800" s="3"/>
      <c r="M800" s="3"/>
      <c r="O800" s="3"/>
      <c r="Q800" s="3"/>
      <c r="S800" s="3"/>
      <c r="U800" s="3"/>
      <c r="V800" s="3"/>
      <c r="W800" s="3"/>
      <c r="X800" s="3"/>
      <c r="Y800" s="3"/>
    </row>
    <row r="801" spans="3:25" x14ac:dyDescent="0.2">
      <c r="C801" s="3"/>
      <c r="E801" s="3"/>
      <c r="G801" s="3"/>
      <c r="I801" s="3"/>
      <c r="K801" s="3"/>
      <c r="M801" s="3"/>
      <c r="O801" s="3"/>
      <c r="Q801" s="3"/>
      <c r="S801" s="3"/>
      <c r="U801" s="3"/>
      <c r="V801" s="3"/>
      <c r="W801" s="3"/>
      <c r="X801" s="3"/>
      <c r="Y801" s="3"/>
    </row>
    <row r="802" spans="3:25" x14ac:dyDescent="0.2">
      <c r="C802" s="3"/>
      <c r="E802" s="3"/>
      <c r="G802" s="3"/>
      <c r="I802" s="3"/>
      <c r="K802" s="3"/>
      <c r="M802" s="3"/>
      <c r="O802" s="3"/>
      <c r="Q802" s="3"/>
      <c r="S802" s="3"/>
      <c r="U802" s="3"/>
      <c r="V802" s="3"/>
      <c r="W802" s="3"/>
      <c r="X802" s="3"/>
      <c r="Y802" s="3"/>
    </row>
    <row r="803" spans="3:25" x14ac:dyDescent="0.2">
      <c r="C803" s="3"/>
      <c r="E803" s="3"/>
      <c r="G803" s="3"/>
      <c r="I803" s="3"/>
      <c r="K803" s="3"/>
      <c r="M803" s="3"/>
      <c r="O803" s="3"/>
      <c r="Q803" s="3"/>
      <c r="S803" s="3"/>
      <c r="U803" s="3"/>
      <c r="V803" s="3"/>
      <c r="W803" s="3"/>
      <c r="X803" s="3"/>
      <c r="Y803" s="3"/>
    </row>
    <row r="804" spans="3:25" x14ac:dyDescent="0.2">
      <c r="C804" s="3"/>
      <c r="E804" s="3"/>
      <c r="G804" s="3"/>
      <c r="I804" s="3"/>
      <c r="K804" s="3"/>
      <c r="M804" s="3"/>
      <c r="O804" s="3"/>
      <c r="Q804" s="3"/>
      <c r="S804" s="3"/>
      <c r="U804" s="3"/>
      <c r="V804" s="3"/>
      <c r="W804" s="3"/>
      <c r="X804" s="3"/>
      <c r="Y804" s="3"/>
    </row>
    <row r="805" spans="3:25" x14ac:dyDescent="0.2">
      <c r="C805" s="3"/>
      <c r="E805" s="3"/>
      <c r="G805" s="3"/>
      <c r="I805" s="3"/>
      <c r="K805" s="3"/>
      <c r="M805" s="3"/>
      <c r="O805" s="3"/>
      <c r="Q805" s="3"/>
      <c r="S805" s="3"/>
      <c r="U805" s="3"/>
      <c r="V805" s="3"/>
      <c r="W805" s="3"/>
      <c r="X805" s="3"/>
      <c r="Y805" s="3"/>
    </row>
    <row r="806" spans="3:25" x14ac:dyDescent="0.2">
      <c r="C806" s="3"/>
      <c r="E806" s="3"/>
      <c r="G806" s="3"/>
      <c r="I806" s="3"/>
      <c r="K806" s="3"/>
      <c r="M806" s="3"/>
      <c r="O806" s="3"/>
      <c r="Q806" s="3"/>
      <c r="S806" s="3"/>
      <c r="U806" s="3"/>
      <c r="V806" s="3"/>
      <c r="W806" s="3"/>
      <c r="X806" s="3"/>
      <c r="Y806" s="3"/>
    </row>
    <row r="807" spans="3:25" x14ac:dyDescent="0.2">
      <c r="C807" s="3"/>
      <c r="E807" s="3"/>
      <c r="G807" s="3"/>
      <c r="I807" s="3"/>
      <c r="K807" s="3"/>
      <c r="M807" s="3"/>
      <c r="O807" s="3"/>
      <c r="Q807" s="3"/>
      <c r="S807" s="3"/>
      <c r="U807" s="3"/>
      <c r="V807" s="3"/>
      <c r="W807" s="3"/>
      <c r="X807" s="3"/>
      <c r="Y807" s="3"/>
    </row>
    <row r="808" spans="3:25" x14ac:dyDescent="0.2">
      <c r="C808" s="3"/>
      <c r="E808" s="3"/>
      <c r="G808" s="3"/>
      <c r="I808" s="3"/>
      <c r="K808" s="3"/>
      <c r="M808" s="3"/>
      <c r="O808" s="3"/>
      <c r="Q808" s="3"/>
      <c r="S808" s="3"/>
      <c r="U808" s="3"/>
      <c r="V808" s="3"/>
      <c r="W808" s="3"/>
      <c r="X808" s="3"/>
      <c r="Y808" s="3"/>
    </row>
    <row r="809" spans="3:25" x14ac:dyDescent="0.2">
      <c r="C809" s="3"/>
      <c r="E809" s="3"/>
      <c r="G809" s="3"/>
      <c r="I809" s="3"/>
      <c r="K809" s="3"/>
      <c r="M809" s="3"/>
      <c r="O809" s="3"/>
      <c r="Q809" s="3"/>
      <c r="S809" s="3"/>
      <c r="U809" s="3"/>
      <c r="V809" s="3"/>
      <c r="W809" s="3"/>
      <c r="X809" s="3"/>
      <c r="Y809" s="3"/>
    </row>
    <row r="810" spans="3:25" x14ac:dyDescent="0.2">
      <c r="C810" s="3"/>
      <c r="E810" s="3"/>
      <c r="G810" s="3"/>
      <c r="I810" s="3"/>
      <c r="K810" s="3"/>
      <c r="M810" s="3"/>
      <c r="O810" s="3"/>
      <c r="Q810" s="3"/>
      <c r="S810" s="3"/>
      <c r="U810" s="3"/>
      <c r="V810" s="3"/>
      <c r="W810" s="3"/>
      <c r="X810" s="3"/>
      <c r="Y810" s="3"/>
    </row>
    <row r="811" spans="3:25" x14ac:dyDescent="0.2">
      <c r="C811" s="3"/>
      <c r="E811" s="3"/>
      <c r="G811" s="3"/>
      <c r="I811" s="3"/>
      <c r="K811" s="3"/>
      <c r="M811" s="3"/>
      <c r="O811" s="3"/>
      <c r="Q811" s="3"/>
      <c r="S811" s="3"/>
      <c r="U811" s="3"/>
      <c r="V811" s="3"/>
      <c r="W811" s="3"/>
      <c r="X811" s="3"/>
      <c r="Y811" s="3"/>
    </row>
    <row r="812" spans="3:25" x14ac:dyDescent="0.2">
      <c r="C812" s="3"/>
      <c r="E812" s="3"/>
      <c r="G812" s="3"/>
      <c r="I812" s="3"/>
      <c r="K812" s="3"/>
      <c r="M812" s="3"/>
      <c r="O812" s="3"/>
      <c r="Q812" s="3"/>
      <c r="S812" s="3"/>
      <c r="U812" s="3"/>
      <c r="V812" s="3"/>
      <c r="W812" s="3"/>
      <c r="X812" s="3"/>
      <c r="Y812" s="3"/>
    </row>
    <row r="813" spans="3:25" x14ac:dyDescent="0.2">
      <c r="C813" s="3"/>
      <c r="E813" s="3"/>
      <c r="G813" s="3"/>
      <c r="I813" s="3"/>
      <c r="K813" s="3"/>
      <c r="M813" s="3"/>
      <c r="O813" s="3"/>
      <c r="Q813" s="3"/>
      <c r="S813" s="3"/>
      <c r="U813" s="3"/>
      <c r="V813" s="3"/>
      <c r="W813" s="3"/>
      <c r="X813" s="3"/>
      <c r="Y813" s="3"/>
    </row>
    <row r="814" spans="3:25" x14ac:dyDescent="0.2">
      <c r="C814" s="3"/>
      <c r="E814" s="3"/>
      <c r="G814" s="3"/>
      <c r="I814" s="3"/>
      <c r="K814" s="3"/>
      <c r="M814" s="3"/>
      <c r="O814" s="3"/>
      <c r="Q814" s="3"/>
      <c r="S814" s="3"/>
      <c r="U814" s="3"/>
      <c r="V814" s="3"/>
      <c r="W814" s="3"/>
      <c r="X814" s="3"/>
      <c r="Y814" s="3"/>
    </row>
    <row r="815" spans="3:25" x14ac:dyDescent="0.2">
      <c r="C815" s="3"/>
      <c r="E815" s="3"/>
      <c r="G815" s="3"/>
      <c r="I815" s="3"/>
      <c r="K815" s="3"/>
      <c r="M815" s="3"/>
      <c r="O815" s="3"/>
      <c r="Q815" s="3"/>
      <c r="S815" s="3"/>
      <c r="U815" s="3"/>
      <c r="V815" s="3"/>
      <c r="W815" s="3"/>
      <c r="X815" s="3"/>
      <c r="Y815" s="3"/>
    </row>
    <row r="816" spans="3:25" x14ac:dyDescent="0.2">
      <c r="C816" s="3"/>
      <c r="E816" s="3"/>
      <c r="G816" s="3"/>
      <c r="I816" s="3"/>
      <c r="K816" s="3"/>
      <c r="M816" s="3"/>
      <c r="O816" s="3"/>
      <c r="Q816" s="3"/>
      <c r="S816" s="3"/>
      <c r="U816" s="3"/>
      <c r="V816" s="3"/>
      <c r="W816" s="3"/>
      <c r="X816" s="3"/>
      <c r="Y816" s="3"/>
    </row>
    <row r="817" spans="3:25" x14ac:dyDescent="0.2">
      <c r="C817" s="3"/>
      <c r="E817" s="3"/>
      <c r="G817" s="3"/>
      <c r="I817" s="3"/>
      <c r="K817" s="3"/>
      <c r="M817" s="3"/>
      <c r="O817" s="3"/>
      <c r="Q817" s="3"/>
      <c r="S817" s="3"/>
      <c r="U817" s="3"/>
      <c r="V817" s="3"/>
      <c r="W817" s="3"/>
      <c r="X817" s="3"/>
      <c r="Y817" s="3"/>
    </row>
    <row r="818" spans="3:25" x14ac:dyDescent="0.2">
      <c r="C818" s="3"/>
      <c r="E818" s="3"/>
      <c r="G818" s="3"/>
      <c r="I818" s="3"/>
      <c r="K818" s="3"/>
      <c r="M818" s="3"/>
      <c r="O818" s="3"/>
      <c r="Q818" s="3"/>
      <c r="S818" s="3"/>
      <c r="U818" s="3"/>
      <c r="V818" s="3"/>
      <c r="W818" s="3"/>
      <c r="X818" s="3"/>
      <c r="Y818" s="3"/>
    </row>
    <row r="819" spans="3:25" x14ac:dyDescent="0.2">
      <c r="C819" s="3"/>
      <c r="E819" s="3"/>
      <c r="G819" s="3"/>
      <c r="I819" s="3"/>
      <c r="K819" s="3"/>
      <c r="M819" s="3"/>
      <c r="O819" s="3"/>
      <c r="Q819" s="3"/>
      <c r="S819" s="3"/>
      <c r="U819" s="3"/>
      <c r="V819" s="3"/>
      <c r="W819" s="3"/>
      <c r="X819" s="3"/>
      <c r="Y819" s="3"/>
    </row>
    <row r="820" spans="3:25" x14ac:dyDescent="0.2">
      <c r="C820" s="3"/>
      <c r="E820" s="3"/>
      <c r="G820" s="3"/>
      <c r="I820" s="3"/>
      <c r="K820" s="3"/>
      <c r="M820" s="3"/>
      <c r="O820" s="3"/>
      <c r="Q820" s="3"/>
      <c r="S820" s="3"/>
      <c r="U820" s="3"/>
      <c r="V820" s="3"/>
      <c r="W820" s="3"/>
      <c r="X820" s="3"/>
      <c r="Y820" s="3"/>
    </row>
    <row r="821" spans="3:25" x14ac:dyDescent="0.2">
      <c r="C821" s="3"/>
      <c r="E821" s="3"/>
      <c r="G821" s="3"/>
      <c r="I821" s="3"/>
      <c r="K821" s="3"/>
      <c r="M821" s="3"/>
      <c r="O821" s="3"/>
      <c r="Q821" s="3"/>
      <c r="S821" s="3"/>
      <c r="U821" s="3"/>
      <c r="V821" s="3"/>
      <c r="W821" s="3"/>
      <c r="X821" s="3"/>
      <c r="Y821" s="3"/>
    </row>
    <row r="822" spans="3:25" x14ac:dyDescent="0.2">
      <c r="C822" s="3"/>
      <c r="E822" s="3"/>
      <c r="G822" s="3"/>
      <c r="I822" s="3"/>
      <c r="K822" s="3"/>
      <c r="M822" s="3"/>
      <c r="O822" s="3"/>
      <c r="Q822" s="3"/>
      <c r="S822" s="3"/>
      <c r="U822" s="3"/>
      <c r="V822" s="3"/>
      <c r="W822" s="3"/>
      <c r="X822" s="3"/>
      <c r="Y822" s="3"/>
    </row>
    <row r="823" spans="3:25" x14ac:dyDescent="0.2">
      <c r="C823" s="3"/>
      <c r="E823" s="3"/>
      <c r="G823" s="3"/>
      <c r="I823" s="3"/>
      <c r="K823" s="3"/>
      <c r="M823" s="3"/>
      <c r="O823" s="3"/>
      <c r="Q823" s="3"/>
      <c r="S823" s="3"/>
      <c r="U823" s="3"/>
      <c r="V823" s="3"/>
      <c r="W823" s="3"/>
      <c r="X823" s="3"/>
      <c r="Y823" s="3"/>
    </row>
    <row r="824" spans="3:25" x14ac:dyDescent="0.2">
      <c r="C824" s="3"/>
      <c r="E824" s="3"/>
      <c r="G824" s="3"/>
      <c r="I824" s="3"/>
      <c r="K824" s="3"/>
      <c r="M824" s="3"/>
      <c r="O824" s="3"/>
      <c r="Q824" s="3"/>
      <c r="S824" s="3"/>
      <c r="U824" s="3"/>
      <c r="V824" s="3"/>
      <c r="W824" s="3"/>
      <c r="X824" s="3"/>
      <c r="Y824" s="3"/>
    </row>
    <row r="825" spans="3:25" x14ac:dyDescent="0.2">
      <c r="C825" s="3"/>
      <c r="E825" s="3"/>
      <c r="G825" s="3"/>
      <c r="I825" s="3"/>
      <c r="K825" s="3"/>
      <c r="M825" s="3"/>
      <c r="O825" s="3"/>
      <c r="Q825" s="3"/>
      <c r="S825" s="3"/>
      <c r="U825" s="3"/>
      <c r="V825" s="3"/>
      <c r="W825" s="3"/>
      <c r="X825" s="3"/>
      <c r="Y825" s="3"/>
    </row>
    <row r="826" spans="3:25" x14ac:dyDescent="0.2">
      <c r="C826" s="3"/>
      <c r="E826" s="3"/>
      <c r="G826" s="3"/>
      <c r="I826" s="3"/>
      <c r="K826" s="3"/>
      <c r="M826" s="3"/>
      <c r="O826" s="3"/>
      <c r="Q826" s="3"/>
      <c r="S826" s="3"/>
      <c r="U826" s="3"/>
      <c r="V826" s="3"/>
      <c r="W826" s="3"/>
      <c r="X826" s="3"/>
      <c r="Y826" s="3"/>
    </row>
    <row r="827" spans="3:25" x14ac:dyDescent="0.2">
      <c r="C827" s="3"/>
      <c r="E827" s="3"/>
      <c r="G827" s="3"/>
      <c r="I827" s="3"/>
      <c r="K827" s="3"/>
      <c r="M827" s="3"/>
      <c r="O827" s="3"/>
      <c r="Q827" s="3"/>
      <c r="S827" s="3"/>
      <c r="U827" s="3"/>
      <c r="V827" s="3"/>
      <c r="W827" s="3"/>
      <c r="X827" s="3"/>
      <c r="Y827" s="3"/>
    </row>
    <row r="828" spans="3:25" x14ac:dyDescent="0.2">
      <c r="C828" s="3"/>
      <c r="E828" s="3"/>
      <c r="G828" s="3"/>
      <c r="I828" s="3"/>
      <c r="K828" s="3"/>
      <c r="M828" s="3"/>
      <c r="O828" s="3"/>
      <c r="Q828" s="3"/>
      <c r="S828" s="3"/>
      <c r="U828" s="3"/>
      <c r="V828" s="3"/>
      <c r="W828" s="3"/>
      <c r="X828" s="3"/>
      <c r="Y828" s="3"/>
    </row>
    <row r="829" spans="3:25" x14ac:dyDescent="0.2">
      <c r="C829" s="3"/>
      <c r="E829" s="3"/>
      <c r="G829" s="3"/>
      <c r="I829" s="3"/>
      <c r="K829" s="3"/>
      <c r="M829" s="3"/>
      <c r="O829" s="3"/>
      <c r="Q829" s="3"/>
      <c r="S829" s="3"/>
      <c r="U829" s="3"/>
      <c r="V829" s="3"/>
      <c r="W829" s="3"/>
      <c r="X829" s="3"/>
      <c r="Y829" s="3"/>
    </row>
    <row r="830" spans="3:25" x14ac:dyDescent="0.2">
      <c r="C830" s="3"/>
      <c r="E830" s="3"/>
      <c r="G830" s="3"/>
      <c r="I830" s="3"/>
      <c r="K830" s="3"/>
      <c r="M830" s="3"/>
      <c r="O830" s="3"/>
      <c r="Q830" s="3"/>
      <c r="S830" s="3"/>
      <c r="U830" s="3"/>
      <c r="V830" s="3"/>
      <c r="W830" s="3"/>
      <c r="X830" s="3"/>
      <c r="Y830" s="3"/>
    </row>
    <row r="831" spans="3:25" x14ac:dyDescent="0.2">
      <c r="C831" s="3"/>
      <c r="E831" s="3"/>
      <c r="G831" s="3"/>
      <c r="I831" s="3"/>
      <c r="K831" s="3"/>
      <c r="M831" s="3"/>
      <c r="O831" s="3"/>
      <c r="Q831" s="3"/>
      <c r="S831" s="3"/>
      <c r="U831" s="3"/>
      <c r="V831" s="3"/>
      <c r="W831" s="3"/>
      <c r="X831" s="3"/>
      <c r="Y831" s="3"/>
    </row>
    <row r="832" spans="3:25" x14ac:dyDescent="0.2">
      <c r="C832" s="3"/>
      <c r="E832" s="3"/>
      <c r="G832" s="3"/>
      <c r="I832" s="3"/>
      <c r="K832" s="3"/>
      <c r="M832" s="3"/>
      <c r="O832" s="3"/>
      <c r="Q832" s="3"/>
      <c r="S832" s="3"/>
      <c r="U832" s="3"/>
      <c r="V832" s="3"/>
      <c r="W832" s="3"/>
      <c r="X832" s="3"/>
      <c r="Y832" s="3"/>
    </row>
    <row r="833" spans="3:25" x14ac:dyDescent="0.2">
      <c r="C833" s="3"/>
      <c r="E833" s="3"/>
      <c r="G833" s="3"/>
      <c r="I833" s="3"/>
      <c r="K833" s="3"/>
      <c r="M833" s="3"/>
      <c r="O833" s="3"/>
      <c r="Q833" s="3"/>
      <c r="S833" s="3"/>
      <c r="U833" s="3"/>
      <c r="V833" s="3"/>
      <c r="W833" s="3"/>
      <c r="X833" s="3"/>
      <c r="Y833" s="3"/>
    </row>
    <row r="834" spans="3:25" x14ac:dyDescent="0.2">
      <c r="C834" s="3"/>
      <c r="E834" s="3"/>
      <c r="G834" s="3"/>
      <c r="I834" s="3"/>
      <c r="K834" s="3"/>
      <c r="M834" s="3"/>
      <c r="O834" s="3"/>
      <c r="Q834" s="3"/>
      <c r="S834" s="3"/>
      <c r="U834" s="3"/>
      <c r="V834" s="3"/>
      <c r="W834" s="3"/>
      <c r="X834" s="3"/>
      <c r="Y834" s="3"/>
    </row>
    <row r="835" spans="3:25" x14ac:dyDescent="0.2">
      <c r="C835" s="3"/>
      <c r="E835" s="3"/>
      <c r="G835" s="3"/>
      <c r="I835" s="3"/>
      <c r="K835" s="3"/>
      <c r="M835" s="3"/>
      <c r="O835" s="3"/>
      <c r="Q835" s="3"/>
      <c r="S835" s="3"/>
      <c r="U835" s="3"/>
      <c r="V835" s="3"/>
      <c r="W835" s="3"/>
      <c r="X835" s="3"/>
      <c r="Y835" s="3"/>
    </row>
    <row r="836" spans="3:25" x14ac:dyDescent="0.2">
      <c r="C836" s="3"/>
      <c r="E836" s="3"/>
      <c r="G836" s="3"/>
      <c r="I836" s="3"/>
      <c r="K836" s="3"/>
      <c r="M836" s="3"/>
      <c r="O836" s="3"/>
      <c r="Q836" s="3"/>
      <c r="S836" s="3"/>
      <c r="U836" s="3"/>
      <c r="V836" s="3"/>
      <c r="W836" s="3"/>
      <c r="X836" s="3"/>
      <c r="Y836" s="3"/>
    </row>
    <row r="837" spans="3:25" x14ac:dyDescent="0.2">
      <c r="C837" s="3"/>
      <c r="E837" s="3"/>
      <c r="G837" s="3"/>
      <c r="I837" s="3"/>
      <c r="K837" s="3"/>
      <c r="M837" s="3"/>
      <c r="O837" s="3"/>
      <c r="Q837" s="3"/>
      <c r="S837" s="3"/>
      <c r="U837" s="3"/>
      <c r="V837" s="3"/>
      <c r="W837" s="3"/>
      <c r="X837" s="3"/>
      <c r="Y837" s="3"/>
    </row>
    <row r="838" spans="3:25" x14ac:dyDescent="0.2">
      <c r="C838" s="3"/>
      <c r="E838" s="3"/>
      <c r="G838" s="3"/>
      <c r="I838" s="3"/>
      <c r="K838" s="3"/>
      <c r="M838" s="3"/>
      <c r="O838" s="3"/>
      <c r="Q838" s="3"/>
      <c r="S838" s="3"/>
      <c r="U838" s="3"/>
      <c r="V838" s="3"/>
      <c r="W838" s="3"/>
      <c r="X838" s="3"/>
      <c r="Y838" s="3"/>
    </row>
    <row r="839" spans="3:25" x14ac:dyDescent="0.2">
      <c r="C839" s="3"/>
      <c r="E839" s="3"/>
      <c r="G839" s="3"/>
      <c r="I839" s="3"/>
      <c r="K839" s="3"/>
      <c r="M839" s="3"/>
      <c r="O839" s="3"/>
      <c r="Q839" s="3"/>
      <c r="S839" s="3"/>
      <c r="U839" s="3"/>
      <c r="V839" s="3"/>
      <c r="W839" s="3"/>
      <c r="X839" s="3"/>
      <c r="Y839" s="3"/>
    </row>
    <row r="840" spans="3:25" x14ac:dyDescent="0.2">
      <c r="C840" s="3"/>
      <c r="E840" s="3"/>
      <c r="G840" s="3"/>
      <c r="I840" s="3"/>
      <c r="K840" s="3"/>
      <c r="M840" s="3"/>
      <c r="O840" s="3"/>
      <c r="Q840" s="3"/>
      <c r="S840" s="3"/>
      <c r="U840" s="3"/>
      <c r="V840" s="3"/>
      <c r="W840" s="3"/>
      <c r="X840" s="3"/>
      <c r="Y840" s="3"/>
    </row>
    <row r="841" spans="3:25" x14ac:dyDescent="0.2">
      <c r="C841" s="3"/>
      <c r="E841" s="3"/>
      <c r="G841" s="3"/>
      <c r="I841" s="3"/>
      <c r="K841" s="3"/>
      <c r="M841" s="3"/>
      <c r="O841" s="3"/>
      <c r="Q841" s="3"/>
      <c r="S841" s="3"/>
      <c r="U841" s="3"/>
      <c r="V841" s="3"/>
      <c r="W841" s="3"/>
      <c r="X841" s="3"/>
      <c r="Y841" s="3"/>
    </row>
    <row r="842" spans="3:25" x14ac:dyDescent="0.2">
      <c r="C842" s="3"/>
      <c r="E842" s="3"/>
      <c r="G842" s="3"/>
      <c r="I842" s="3"/>
      <c r="K842" s="3"/>
      <c r="M842" s="3"/>
      <c r="O842" s="3"/>
      <c r="Q842" s="3"/>
      <c r="S842" s="3"/>
      <c r="U842" s="3"/>
      <c r="V842" s="3"/>
      <c r="W842" s="3"/>
      <c r="X842" s="3"/>
      <c r="Y842" s="3"/>
    </row>
    <row r="843" spans="3:25" x14ac:dyDescent="0.2">
      <c r="C843" s="3"/>
      <c r="E843" s="3"/>
      <c r="G843" s="3"/>
      <c r="I843" s="3"/>
      <c r="K843" s="3"/>
      <c r="M843" s="3"/>
      <c r="O843" s="3"/>
      <c r="Q843" s="3"/>
      <c r="S843" s="3"/>
      <c r="U843" s="3"/>
      <c r="V843" s="3"/>
      <c r="W843" s="3"/>
      <c r="X843" s="3"/>
      <c r="Y843" s="3"/>
    </row>
    <row r="844" spans="3:25" x14ac:dyDescent="0.2">
      <c r="C844" s="3"/>
      <c r="E844" s="3"/>
      <c r="G844" s="3"/>
      <c r="I844" s="3"/>
      <c r="K844" s="3"/>
      <c r="M844" s="3"/>
      <c r="O844" s="3"/>
      <c r="Q844" s="3"/>
      <c r="S844" s="3"/>
      <c r="U844" s="3"/>
      <c r="V844" s="3"/>
      <c r="W844" s="3"/>
      <c r="X844" s="3"/>
      <c r="Y844" s="3"/>
    </row>
    <row r="845" spans="3:25" x14ac:dyDescent="0.2">
      <c r="C845" s="3"/>
      <c r="E845" s="3"/>
      <c r="G845" s="3"/>
      <c r="I845" s="3"/>
      <c r="K845" s="3"/>
      <c r="M845" s="3"/>
      <c r="O845" s="3"/>
      <c r="Q845" s="3"/>
      <c r="S845" s="3"/>
      <c r="U845" s="3"/>
      <c r="V845" s="3"/>
      <c r="W845" s="3"/>
      <c r="X845" s="3"/>
      <c r="Y845" s="3"/>
    </row>
    <row r="846" spans="3:25" x14ac:dyDescent="0.2">
      <c r="C846" s="3"/>
      <c r="E846" s="3"/>
      <c r="G846" s="3"/>
      <c r="I846" s="3"/>
      <c r="K846" s="3"/>
      <c r="M846" s="3"/>
      <c r="O846" s="3"/>
      <c r="Q846" s="3"/>
      <c r="S846" s="3"/>
      <c r="U846" s="3"/>
      <c r="V846" s="3"/>
      <c r="W846" s="3"/>
      <c r="X846" s="3"/>
      <c r="Y846" s="3"/>
    </row>
    <row r="847" spans="3:25" x14ac:dyDescent="0.2">
      <c r="C847" s="3"/>
      <c r="E847" s="3"/>
      <c r="G847" s="3"/>
      <c r="I847" s="3"/>
      <c r="K847" s="3"/>
      <c r="M847" s="3"/>
      <c r="O847" s="3"/>
      <c r="Q847" s="3"/>
      <c r="S847" s="3"/>
      <c r="U847" s="3"/>
      <c r="V847" s="3"/>
      <c r="W847" s="3"/>
      <c r="X847" s="3"/>
      <c r="Y847" s="3"/>
    </row>
    <row r="848" spans="3:25" x14ac:dyDescent="0.2">
      <c r="C848" s="3"/>
      <c r="E848" s="3"/>
      <c r="G848" s="3"/>
      <c r="I848" s="3"/>
      <c r="K848" s="3"/>
      <c r="M848" s="3"/>
      <c r="O848" s="3"/>
      <c r="Q848" s="3"/>
      <c r="S848" s="3"/>
      <c r="U848" s="3"/>
      <c r="V848" s="3"/>
      <c r="W848" s="3"/>
      <c r="X848" s="3"/>
      <c r="Y848" s="3"/>
    </row>
    <row r="849" spans="3:25" x14ac:dyDescent="0.2">
      <c r="C849" s="3"/>
      <c r="E849" s="3"/>
      <c r="G849" s="3"/>
      <c r="I849" s="3"/>
      <c r="K849" s="3"/>
      <c r="M849" s="3"/>
      <c r="O849" s="3"/>
      <c r="Q849" s="3"/>
      <c r="S849" s="3"/>
      <c r="U849" s="3"/>
      <c r="V849" s="3"/>
      <c r="W849" s="3"/>
      <c r="X849" s="3"/>
      <c r="Y849" s="3"/>
    </row>
    <row r="850" spans="3:25" x14ac:dyDescent="0.2">
      <c r="C850" s="3"/>
      <c r="E850" s="3"/>
      <c r="G850" s="3"/>
      <c r="I850" s="3"/>
      <c r="K850" s="3"/>
      <c r="M850" s="3"/>
      <c r="O850" s="3"/>
      <c r="Q850" s="3"/>
      <c r="S850" s="3"/>
      <c r="U850" s="3"/>
      <c r="V850" s="3"/>
      <c r="W850" s="3"/>
      <c r="X850" s="3"/>
      <c r="Y850" s="3"/>
    </row>
    <row r="851" spans="3:25" x14ac:dyDescent="0.2">
      <c r="C851" s="3"/>
      <c r="E851" s="3"/>
      <c r="G851" s="3"/>
      <c r="I851" s="3"/>
      <c r="K851" s="3"/>
      <c r="M851" s="3"/>
      <c r="O851" s="3"/>
      <c r="Q851" s="3"/>
      <c r="S851" s="3"/>
      <c r="U851" s="3"/>
      <c r="V851" s="3"/>
      <c r="W851" s="3"/>
      <c r="X851" s="3"/>
      <c r="Y851" s="3"/>
    </row>
    <row r="852" spans="3:25" x14ac:dyDescent="0.2">
      <c r="C852" s="3"/>
      <c r="E852" s="3"/>
      <c r="G852" s="3"/>
      <c r="I852" s="3"/>
      <c r="K852" s="3"/>
      <c r="M852" s="3"/>
      <c r="O852" s="3"/>
      <c r="Q852" s="3"/>
      <c r="S852" s="3"/>
      <c r="U852" s="3"/>
      <c r="V852" s="3"/>
      <c r="W852" s="3"/>
      <c r="X852" s="3"/>
      <c r="Y852" s="3"/>
    </row>
    <row r="853" spans="3:25" x14ac:dyDescent="0.2">
      <c r="C853" s="3"/>
      <c r="E853" s="3"/>
      <c r="G853" s="3"/>
      <c r="I853" s="3"/>
      <c r="K853" s="3"/>
      <c r="M853" s="3"/>
      <c r="O853" s="3"/>
      <c r="Q853" s="3"/>
      <c r="S853" s="3"/>
      <c r="U853" s="3"/>
      <c r="V853" s="3"/>
      <c r="W853" s="3"/>
      <c r="X853" s="3"/>
      <c r="Y853" s="3"/>
    </row>
    <row r="854" spans="3:25" x14ac:dyDescent="0.2">
      <c r="C854" s="3"/>
      <c r="E854" s="3"/>
      <c r="G854" s="3"/>
      <c r="I854" s="3"/>
      <c r="K854" s="3"/>
      <c r="M854" s="3"/>
      <c r="O854" s="3"/>
      <c r="Q854" s="3"/>
      <c r="S854" s="3"/>
      <c r="U854" s="3"/>
      <c r="V854" s="3"/>
      <c r="W854" s="3"/>
      <c r="X854" s="3"/>
      <c r="Y854" s="3"/>
    </row>
    <row r="855" spans="3:25" x14ac:dyDescent="0.2">
      <c r="C855" s="3"/>
      <c r="E855" s="3"/>
      <c r="G855" s="3"/>
      <c r="I855" s="3"/>
      <c r="K855" s="3"/>
      <c r="M855" s="3"/>
      <c r="O855" s="3"/>
      <c r="Q855" s="3"/>
      <c r="S855" s="3"/>
      <c r="U855" s="3"/>
      <c r="V855" s="3"/>
      <c r="W855" s="3"/>
      <c r="X855" s="3"/>
      <c r="Y855" s="3"/>
    </row>
    <row r="856" spans="3:25" x14ac:dyDescent="0.2">
      <c r="C856" s="3"/>
      <c r="E856" s="3"/>
      <c r="G856" s="3"/>
      <c r="I856" s="3"/>
      <c r="K856" s="3"/>
      <c r="M856" s="3"/>
      <c r="O856" s="3"/>
      <c r="Q856" s="3"/>
      <c r="S856" s="3"/>
      <c r="U856" s="3"/>
      <c r="V856" s="3"/>
      <c r="W856" s="3"/>
      <c r="X856" s="3"/>
      <c r="Y856" s="3"/>
    </row>
    <row r="857" spans="3:25" x14ac:dyDescent="0.2">
      <c r="C857" s="3"/>
      <c r="E857" s="3"/>
      <c r="G857" s="3"/>
      <c r="I857" s="3"/>
      <c r="K857" s="3"/>
      <c r="M857" s="3"/>
      <c r="O857" s="3"/>
      <c r="Q857" s="3"/>
      <c r="S857" s="3"/>
      <c r="U857" s="3"/>
      <c r="V857" s="3"/>
      <c r="W857" s="3"/>
      <c r="X857" s="3"/>
      <c r="Y857" s="3"/>
    </row>
    <row r="858" spans="3:25" x14ac:dyDescent="0.2">
      <c r="C858" s="3"/>
      <c r="E858" s="3"/>
      <c r="G858" s="3"/>
      <c r="I858" s="3"/>
      <c r="K858" s="3"/>
      <c r="M858" s="3"/>
      <c r="O858" s="3"/>
      <c r="Q858" s="3"/>
      <c r="S858" s="3"/>
      <c r="U858" s="3"/>
      <c r="V858" s="3"/>
      <c r="W858" s="3"/>
      <c r="X858" s="3"/>
      <c r="Y858" s="3"/>
    </row>
    <row r="859" spans="3:25" x14ac:dyDescent="0.2">
      <c r="C859" s="3"/>
      <c r="E859" s="3"/>
      <c r="G859" s="3"/>
      <c r="I859" s="3"/>
      <c r="K859" s="3"/>
      <c r="M859" s="3"/>
      <c r="O859" s="3"/>
      <c r="Q859" s="3"/>
      <c r="S859" s="3"/>
      <c r="U859" s="3"/>
      <c r="V859" s="3"/>
      <c r="W859" s="3"/>
      <c r="X859" s="3"/>
      <c r="Y859" s="3"/>
    </row>
    <row r="860" spans="3:25" x14ac:dyDescent="0.2">
      <c r="C860" s="3"/>
      <c r="E860" s="3"/>
      <c r="G860" s="3"/>
      <c r="I860" s="3"/>
      <c r="K860" s="3"/>
      <c r="M860" s="3"/>
      <c r="O860" s="3"/>
      <c r="Q860" s="3"/>
      <c r="S860" s="3"/>
      <c r="U860" s="3"/>
      <c r="V860" s="3"/>
      <c r="W860" s="3"/>
      <c r="X860" s="3"/>
      <c r="Y860" s="3"/>
    </row>
    <row r="861" spans="3:25" x14ac:dyDescent="0.2">
      <c r="C861" s="3"/>
      <c r="E861" s="3"/>
      <c r="G861" s="3"/>
      <c r="I861" s="3"/>
      <c r="K861" s="3"/>
      <c r="M861" s="3"/>
      <c r="O861" s="3"/>
      <c r="Q861" s="3"/>
      <c r="S861" s="3"/>
      <c r="U861" s="3"/>
      <c r="V861" s="3"/>
      <c r="W861" s="3"/>
      <c r="X861" s="3"/>
      <c r="Y861" s="3"/>
    </row>
    <row r="862" spans="3:25" x14ac:dyDescent="0.2">
      <c r="C862" s="3"/>
      <c r="E862" s="3"/>
      <c r="G862" s="3"/>
      <c r="I862" s="3"/>
      <c r="K862" s="3"/>
      <c r="M862" s="3"/>
      <c r="O862" s="3"/>
      <c r="Q862" s="3"/>
      <c r="S862" s="3"/>
      <c r="U862" s="3"/>
      <c r="V862" s="3"/>
      <c r="W862" s="3"/>
      <c r="X862" s="3"/>
      <c r="Y862" s="3"/>
    </row>
    <row r="863" spans="3:25" x14ac:dyDescent="0.2">
      <c r="C863" s="3"/>
      <c r="E863" s="3"/>
      <c r="G863" s="3"/>
      <c r="I863" s="3"/>
      <c r="K863" s="3"/>
      <c r="M863" s="3"/>
      <c r="O863" s="3"/>
      <c r="Q863" s="3"/>
      <c r="S863" s="3"/>
      <c r="U863" s="3"/>
      <c r="V863" s="3"/>
      <c r="W863" s="3"/>
      <c r="X863" s="3"/>
      <c r="Y863" s="3"/>
    </row>
    <row r="864" spans="3:25" x14ac:dyDescent="0.2">
      <c r="C864" s="3"/>
      <c r="E864" s="3"/>
      <c r="G864" s="3"/>
      <c r="I864" s="3"/>
      <c r="K864" s="3"/>
      <c r="M864" s="3"/>
      <c r="O864" s="3"/>
      <c r="Q864" s="3"/>
      <c r="S864" s="3"/>
      <c r="U864" s="3"/>
      <c r="V864" s="3"/>
      <c r="W864" s="3"/>
      <c r="X864" s="3"/>
      <c r="Y864" s="3"/>
    </row>
    <row r="865" spans="3:25" x14ac:dyDescent="0.2">
      <c r="C865" s="3"/>
      <c r="E865" s="3"/>
      <c r="G865" s="3"/>
      <c r="I865" s="3"/>
      <c r="K865" s="3"/>
      <c r="M865" s="3"/>
      <c r="O865" s="3"/>
      <c r="Q865" s="3"/>
      <c r="S865" s="3"/>
      <c r="U865" s="3"/>
      <c r="V865" s="3"/>
      <c r="W865" s="3"/>
      <c r="X865" s="3"/>
      <c r="Y865" s="3"/>
    </row>
    <row r="866" spans="3:25" x14ac:dyDescent="0.2">
      <c r="C866" s="3"/>
      <c r="E866" s="3"/>
      <c r="G866" s="3"/>
      <c r="I866" s="3"/>
      <c r="K866" s="3"/>
      <c r="M866" s="3"/>
      <c r="O866" s="3"/>
      <c r="Q866" s="3"/>
      <c r="S866" s="3"/>
      <c r="U866" s="3"/>
      <c r="V866" s="3"/>
      <c r="W866" s="3"/>
      <c r="X866" s="3"/>
      <c r="Y866" s="3"/>
    </row>
    <row r="867" spans="3:25" x14ac:dyDescent="0.2">
      <c r="C867" s="3"/>
      <c r="E867" s="3"/>
      <c r="G867" s="3"/>
      <c r="I867" s="3"/>
      <c r="K867" s="3"/>
      <c r="M867" s="3"/>
      <c r="O867" s="3"/>
      <c r="Q867" s="3"/>
      <c r="S867" s="3"/>
      <c r="U867" s="3"/>
      <c r="V867" s="3"/>
      <c r="W867" s="3"/>
      <c r="X867" s="3"/>
      <c r="Y867" s="3"/>
    </row>
    <row r="868" spans="3:25" x14ac:dyDescent="0.2">
      <c r="C868" s="3"/>
      <c r="E868" s="3"/>
      <c r="G868" s="3"/>
      <c r="I868" s="3"/>
      <c r="K868" s="3"/>
      <c r="M868" s="3"/>
      <c r="O868" s="3"/>
      <c r="Q868" s="3"/>
      <c r="S868" s="3"/>
      <c r="U868" s="3"/>
      <c r="V868" s="3"/>
      <c r="W868" s="3"/>
      <c r="X868" s="3"/>
      <c r="Y868" s="3"/>
    </row>
    <row r="869" spans="3:25" x14ac:dyDescent="0.2">
      <c r="C869" s="3"/>
      <c r="E869" s="3"/>
      <c r="G869" s="3"/>
      <c r="I869" s="3"/>
      <c r="K869" s="3"/>
      <c r="M869" s="3"/>
      <c r="O869" s="3"/>
      <c r="Q869" s="3"/>
      <c r="S869" s="3"/>
      <c r="U869" s="3"/>
      <c r="V869" s="3"/>
      <c r="W869" s="3"/>
      <c r="X869" s="3"/>
      <c r="Y869" s="3"/>
    </row>
    <row r="870" spans="3:25" x14ac:dyDescent="0.2">
      <c r="C870" s="3"/>
      <c r="E870" s="3"/>
      <c r="G870" s="3"/>
      <c r="I870" s="3"/>
      <c r="K870" s="3"/>
      <c r="M870" s="3"/>
      <c r="O870" s="3"/>
      <c r="Q870" s="3"/>
      <c r="S870" s="3"/>
      <c r="U870" s="3"/>
      <c r="V870" s="3"/>
      <c r="W870" s="3"/>
      <c r="X870" s="3"/>
      <c r="Y870" s="3"/>
    </row>
    <row r="871" spans="3:25" x14ac:dyDescent="0.2">
      <c r="C871" s="3"/>
      <c r="E871" s="3"/>
      <c r="G871" s="3"/>
      <c r="I871" s="3"/>
      <c r="K871" s="3"/>
      <c r="M871" s="3"/>
      <c r="O871" s="3"/>
      <c r="Q871" s="3"/>
      <c r="S871" s="3"/>
      <c r="U871" s="3"/>
      <c r="V871" s="3"/>
      <c r="W871" s="3"/>
      <c r="X871" s="3"/>
      <c r="Y871" s="3"/>
    </row>
    <row r="872" spans="3:25" x14ac:dyDescent="0.2">
      <c r="C872" s="3"/>
      <c r="E872" s="3"/>
      <c r="G872" s="3"/>
      <c r="I872" s="3"/>
      <c r="K872" s="3"/>
      <c r="M872" s="3"/>
      <c r="O872" s="3"/>
      <c r="Q872" s="3"/>
      <c r="S872" s="3"/>
      <c r="U872" s="3"/>
      <c r="V872" s="3"/>
      <c r="W872" s="3"/>
      <c r="X872" s="3"/>
      <c r="Y872" s="3"/>
    </row>
    <row r="873" spans="3:25" x14ac:dyDescent="0.2">
      <c r="C873" s="3"/>
      <c r="E873" s="3"/>
      <c r="G873" s="3"/>
      <c r="I873" s="3"/>
      <c r="K873" s="3"/>
      <c r="M873" s="3"/>
      <c r="O873" s="3"/>
      <c r="Q873" s="3"/>
      <c r="S873" s="3"/>
      <c r="U873" s="3"/>
      <c r="V873" s="3"/>
      <c r="W873" s="3"/>
      <c r="X873" s="3"/>
      <c r="Y873" s="3"/>
    </row>
    <row r="874" spans="3:25" x14ac:dyDescent="0.2">
      <c r="C874" s="3"/>
      <c r="E874" s="3"/>
      <c r="G874" s="3"/>
      <c r="I874" s="3"/>
      <c r="K874" s="3"/>
      <c r="M874" s="3"/>
      <c r="O874" s="3"/>
      <c r="Q874" s="3"/>
      <c r="S874" s="3"/>
      <c r="U874" s="3"/>
      <c r="V874" s="3"/>
      <c r="W874" s="3"/>
      <c r="X874" s="3"/>
      <c r="Y874" s="3"/>
    </row>
    <row r="875" spans="3:25" x14ac:dyDescent="0.2">
      <c r="C875" s="3"/>
      <c r="E875" s="3"/>
      <c r="G875" s="3"/>
      <c r="I875" s="3"/>
      <c r="K875" s="3"/>
      <c r="M875" s="3"/>
      <c r="O875" s="3"/>
      <c r="Q875" s="3"/>
      <c r="S875" s="3"/>
      <c r="U875" s="3"/>
      <c r="V875" s="3"/>
      <c r="W875" s="3"/>
      <c r="X875" s="3"/>
      <c r="Y875" s="3"/>
    </row>
    <row r="876" spans="3:25" x14ac:dyDescent="0.2">
      <c r="C876" s="3"/>
      <c r="E876" s="3"/>
      <c r="G876" s="3"/>
      <c r="I876" s="3"/>
      <c r="K876" s="3"/>
      <c r="M876" s="3"/>
      <c r="O876" s="3"/>
      <c r="Q876" s="3"/>
      <c r="S876" s="3"/>
      <c r="U876" s="3"/>
      <c r="V876" s="3"/>
      <c r="W876" s="3"/>
      <c r="X876" s="3"/>
      <c r="Y876" s="3"/>
    </row>
    <row r="877" spans="3:25" x14ac:dyDescent="0.2">
      <c r="C877" s="3"/>
      <c r="E877" s="3"/>
      <c r="G877" s="3"/>
      <c r="I877" s="3"/>
      <c r="K877" s="3"/>
      <c r="M877" s="3"/>
      <c r="O877" s="3"/>
      <c r="Q877" s="3"/>
      <c r="S877" s="3"/>
      <c r="U877" s="3"/>
      <c r="V877" s="3"/>
      <c r="W877" s="3"/>
      <c r="X877" s="3"/>
      <c r="Y877" s="3"/>
    </row>
    <row r="878" spans="3:25" x14ac:dyDescent="0.2">
      <c r="C878" s="3"/>
      <c r="E878" s="3"/>
      <c r="G878" s="3"/>
      <c r="I878" s="3"/>
      <c r="K878" s="3"/>
      <c r="M878" s="3"/>
      <c r="O878" s="3"/>
      <c r="Q878" s="3"/>
      <c r="S878" s="3"/>
      <c r="U878" s="3"/>
      <c r="V878" s="3"/>
      <c r="W878" s="3"/>
      <c r="X878" s="3"/>
      <c r="Y878" s="3"/>
    </row>
    <row r="879" spans="3:25" x14ac:dyDescent="0.2">
      <c r="C879" s="3"/>
      <c r="E879" s="3"/>
      <c r="G879" s="3"/>
      <c r="I879" s="3"/>
      <c r="K879" s="3"/>
      <c r="M879" s="3"/>
      <c r="O879" s="3"/>
      <c r="Q879" s="3"/>
      <c r="S879" s="3"/>
      <c r="U879" s="3"/>
      <c r="V879" s="3"/>
      <c r="W879" s="3"/>
      <c r="X879" s="3"/>
      <c r="Y879" s="3"/>
    </row>
    <row r="880" spans="3:25" x14ac:dyDescent="0.2">
      <c r="C880" s="3"/>
      <c r="E880" s="3"/>
      <c r="G880" s="3"/>
      <c r="I880" s="3"/>
      <c r="K880" s="3"/>
      <c r="M880" s="3"/>
      <c r="O880" s="3"/>
      <c r="Q880" s="3"/>
      <c r="S880" s="3"/>
      <c r="U880" s="3"/>
      <c r="V880" s="3"/>
      <c r="W880" s="3"/>
      <c r="X880" s="3"/>
      <c r="Y880" s="3"/>
    </row>
    <row r="881" spans="3:25" x14ac:dyDescent="0.2">
      <c r="C881" s="3"/>
      <c r="E881" s="3"/>
      <c r="G881" s="3"/>
      <c r="I881" s="3"/>
      <c r="K881" s="3"/>
      <c r="M881" s="3"/>
      <c r="O881" s="3"/>
      <c r="Q881" s="3"/>
      <c r="S881" s="3"/>
      <c r="U881" s="3"/>
      <c r="V881" s="3"/>
      <c r="W881" s="3"/>
      <c r="X881" s="3"/>
      <c r="Y881" s="3"/>
    </row>
    <row r="882" spans="3:25" x14ac:dyDescent="0.2">
      <c r="C882" s="3"/>
      <c r="E882" s="3"/>
      <c r="G882" s="3"/>
      <c r="I882" s="3"/>
      <c r="K882" s="3"/>
      <c r="M882" s="3"/>
      <c r="O882" s="3"/>
      <c r="Q882" s="3"/>
      <c r="S882" s="3"/>
      <c r="U882" s="3"/>
      <c r="V882" s="3"/>
      <c r="W882" s="3"/>
      <c r="X882" s="3"/>
      <c r="Y882" s="3"/>
    </row>
    <row r="883" spans="3:25" x14ac:dyDescent="0.2">
      <c r="C883" s="3"/>
      <c r="E883" s="3"/>
      <c r="G883" s="3"/>
      <c r="I883" s="3"/>
      <c r="K883" s="3"/>
      <c r="M883" s="3"/>
      <c r="O883" s="3"/>
      <c r="Q883" s="3"/>
      <c r="S883" s="3"/>
      <c r="U883" s="3"/>
      <c r="V883" s="3"/>
      <c r="W883" s="3"/>
      <c r="X883" s="3"/>
      <c r="Y883" s="3"/>
    </row>
    <row r="884" spans="3:25" x14ac:dyDescent="0.2">
      <c r="C884" s="3"/>
      <c r="E884" s="3"/>
      <c r="G884" s="3"/>
      <c r="I884" s="3"/>
      <c r="K884" s="3"/>
      <c r="M884" s="3"/>
      <c r="O884" s="3"/>
      <c r="Q884" s="3"/>
      <c r="S884" s="3"/>
      <c r="U884" s="3"/>
      <c r="V884" s="3"/>
      <c r="W884" s="3"/>
      <c r="X884" s="3"/>
      <c r="Y884" s="3"/>
    </row>
    <row r="885" spans="3:25" x14ac:dyDescent="0.2">
      <c r="C885" s="3"/>
      <c r="E885" s="3"/>
      <c r="G885" s="3"/>
      <c r="I885" s="3"/>
      <c r="K885" s="3"/>
      <c r="M885" s="3"/>
      <c r="O885" s="3"/>
      <c r="Q885" s="3"/>
      <c r="S885" s="3"/>
      <c r="U885" s="3"/>
      <c r="V885" s="3"/>
      <c r="W885" s="3"/>
      <c r="X885" s="3"/>
      <c r="Y885" s="3"/>
    </row>
    <row r="886" spans="3:25" x14ac:dyDescent="0.2">
      <c r="C886" s="3"/>
      <c r="E886" s="3"/>
      <c r="G886" s="3"/>
      <c r="I886" s="3"/>
      <c r="K886" s="3"/>
      <c r="M886" s="3"/>
      <c r="O886" s="3"/>
      <c r="Q886" s="3"/>
      <c r="S886" s="3"/>
      <c r="U886" s="3"/>
      <c r="V886" s="3"/>
      <c r="W886" s="3"/>
      <c r="X886" s="3"/>
      <c r="Y886" s="3"/>
    </row>
    <row r="887" spans="3:25" x14ac:dyDescent="0.2">
      <c r="C887" s="3"/>
      <c r="E887" s="3"/>
      <c r="G887" s="3"/>
      <c r="I887" s="3"/>
      <c r="K887" s="3"/>
      <c r="M887" s="3"/>
      <c r="O887" s="3"/>
      <c r="Q887" s="3"/>
      <c r="S887" s="3"/>
      <c r="U887" s="3"/>
      <c r="V887" s="3"/>
      <c r="W887" s="3"/>
      <c r="X887" s="3"/>
      <c r="Y887" s="3"/>
    </row>
    <row r="888" spans="3:25" x14ac:dyDescent="0.2">
      <c r="C888" s="3"/>
      <c r="E888" s="3"/>
      <c r="G888" s="3"/>
      <c r="I888" s="3"/>
      <c r="K888" s="3"/>
      <c r="M888" s="3"/>
      <c r="O888" s="3"/>
      <c r="Q888" s="3"/>
      <c r="S888" s="3"/>
      <c r="U888" s="3"/>
      <c r="V888" s="3"/>
      <c r="W888" s="3"/>
      <c r="X888" s="3"/>
      <c r="Y888" s="3"/>
    </row>
    <row r="889" spans="3:25" x14ac:dyDescent="0.2">
      <c r="C889" s="3"/>
      <c r="E889" s="3"/>
      <c r="G889" s="3"/>
      <c r="I889" s="3"/>
      <c r="K889" s="3"/>
      <c r="M889" s="3"/>
      <c r="O889" s="3"/>
      <c r="Q889" s="3"/>
      <c r="S889" s="3"/>
      <c r="U889" s="3"/>
      <c r="V889" s="3"/>
      <c r="W889" s="3"/>
      <c r="X889" s="3"/>
      <c r="Y889" s="3"/>
    </row>
    <row r="890" spans="3:25" x14ac:dyDescent="0.2">
      <c r="C890" s="3"/>
      <c r="E890" s="3"/>
      <c r="G890" s="3"/>
      <c r="I890" s="3"/>
      <c r="K890" s="3"/>
      <c r="M890" s="3"/>
      <c r="O890" s="3"/>
      <c r="Q890" s="3"/>
      <c r="S890" s="3"/>
      <c r="U890" s="3"/>
      <c r="V890" s="3"/>
      <c r="W890" s="3"/>
      <c r="X890" s="3"/>
      <c r="Y890" s="3"/>
    </row>
    <row r="891" spans="3:25" x14ac:dyDescent="0.2">
      <c r="C891" s="3"/>
      <c r="E891" s="3"/>
      <c r="G891" s="3"/>
      <c r="I891" s="3"/>
      <c r="K891" s="3"/>
      <c r="M891" s="3"/>
      <c r="O891" s="3"/>
      <c r="Q891" s="3"/>
      <c r="S891" s="3"/>
      <c r="U891" s="3"/>
      <c r="V891" s="3"/>
      <c r="W891" s="3"/>
      <c r="X891" s="3"/>
      <c r="Y891" s="3"/>
    </row>
    <row r="892" spans="3:25" x14ac:dyDescent="0.2">
      <c r="C892" s="3"/>
      <c r="E892" s="3"/>
      <c r="G892" s="3"/>
      <c r="I892" s="3"/>
      <c r="K892" s="3"/>
      <c r="M892" s="3"/>
      <c r="O892" s="3"/>
      <c r="Q892" s="3"/>
      <c r="S892" s="3"/>
      <c r="U892" s="3"/>
      <c r="V892" s="3"/>
      <c r="W892" s="3"/>
      <c r="X892" s="3"/>
      <c r="Y892" s="3"/>
    </row>
    <row r="893" spans="3:25" x14ac:dyDescent="0.2">
      <c r="C893" s="3"/>
      <c r="E893" s="3"/>
      <c r="G893" s="3"/>
      <c r="I893" s="3"/>
      <c r="K893" s="3"/>
      <c r="M893" s="3"/>
      <c r="O893" s="3"/>
      <c r="Q893" s="3"/>
      <c r="S893" s="3"/>
      <c r="U893" s="3"/>
      <c r="V893" s="3"/>
      <c r="W893" s="3"/>
      <c r="X893" s="3"/>
      <c r="Y893" s="3"/>
    </row>
    <row r="894" spans="3:25" x14ac:dyDescent="0.2">
      <c r="C894" s="3"/>
      <c r="E894" s="3"/>
      <c r="G894" s="3"/>
      <c r="I894" s="3"/>
      <c r="K894" s="3"/>
      <c r="M894" s="3"/>
      <c r="O894" s="3"/>
      <c r="Q894" s="3"/>
      <c r="S894" s="3"/>
      <c r="U894" s="3"/>
      <c r="V894" s="3"/>
      <c r="W894" s="3"/>
      <c r="X894" s="3"/>
      <c r="Y894" s="3"/>
    </row>
    <row r="895" spans="3:25" x14ac:dyDescent="0.2">
      <c r="C895" s="3"/>
      <c r="E895" s="3"/>
      <c r="G895" s="3"/>
      <c r="I895" s="3"/>
      <c r="K895" s="3"/>
      <c r="M895" s="3"/>
      <c r="O895" s="3"/>
      <c r="Q895" s="3"/>
      <c r="S895" s="3"/>
      <c r="U895" s="3"/>
      <c r="V895" s="3"/>
      <c r="W895" s="3"/>
      <c r="X895" s="3"/>
      <c r="Y895" s="3"/>
    </row>
    <row r="896" spans="3:25" x14ac:dyDescent="0.2">
      <c r="C896" s="3"/>
      <c r="E896" s="3"/>
      <c r="G896" s="3"/>
      <c r="I896" s="3"/>
      <c r="K896" s="3"/>
      <c r="M896" s="3"/>
      <c r="O896" s="3"/>
      <c r="Q896" s="3"/>
      <c r="S896" s="3"/>
      <c r="U896" s="3"/>
      <c r="V896" s="3"/>
      <c r="W896" s="3"/>
      <c r="X896" s="3"/>
      <c r="Y896" s="3"/>
    </row>
    <row r="897" spans="3:25" x14ac:dyDescent="0.2">
      <c r="C897" s="3"/>
      <c r="E897" s="3"/>
      <c r="G897" s="3"/>
      <c r="I897" s="3"/>
      <c r="K897" s="3"/>
      <c r="M897" s="3"/>
      <c r="O897" s="3"/>
      <c r="Q897" s="3"/>
      <c r="S897" s="3"/>
      <c r="U897" s="3"/>
      <c r="V897" s="3"/>
      <c r="W897" s="3"/>
      <c r="X897" s="3"/>
      <c r="Y897" s="3"/>
    </row>
    <row r="898" spans="3:25" x14ac:dyDescent="0.2">
      <c r="C898" s="3"/>
      <c r="E898" s="3"/>
      <c r="G898" s="3"/>
      <c r="I898" s="3"/>
      <c r="K898" s="3"/>
      <c r="M898" s="3"/>
      <c r="O898" s="3"/>
      <c r="Q898" s="3"/>
      <c r="S898" s="3"/>
      <c r="U898" s="3"/>
      <c r="V898" s="3"/>
      <c r="W898" s="3"/>
      <c r="X898" s="3"/>
      <c r="Y898" s="3"/>
    </row>
    <row r="899" spans="3:25" x14ac:dyDescent="0.2">
      <c r="C899" s="3"/>
      <c r="E899" s="3"/>
      <c r="G899" s="3"/>
      <c r="I899" s="3"/>
      <c r="K899" s="3"/>
      <c r="M899" s="3"/>
      <c r="O899" s="3"/>
      <c r="Q899" s="3"/>
      <c r="S899" s="3"/>
      <c r="U899" s="3"/>
      <c r="V899" s="3"/>
      <c r="W899" s="3"/>
      <c r="X899" s="3"/>
      <c r="Y899" s="3"/>
    </row>
    <row r="900" spans="3:25" x14ac:dyDescent="0.2">
      <c r="C900" s="3"/>
      <c r="E900" s="3"/>
      <c r="G900" s="3"/>
      <c r="I900" s="3"/>
      <c r="K900" s="3"/>
      <c r="M900" s="3"/>
      <c r="O900" s="3"/>
      <c r="Q900" s="3"/>
      <c r="S900" s="3"/>
      <c r="U900" s="3"/>
      <c r="V900" s="3"/>
      <c r="W900" s="3"/>
      <c r="X900" s="3"/>
      <c r="Y900" s="3"/>
    </row>
    <row r="901" spans="3:25" x14ac:dyDescent="0.2">
      <c r="C901" s="3"/>
      <c r="E901" s="3"/>
      <c r="G901" s="3"/>
      <c r="I901" s="3"/>
      <c r="K901" s="3"/>
      <c r="M901" s="3"/>
      <c r="O901" s="3"/>
      <c r="Q901" s="3"/>
      <c r="S901" s="3"/>
      <c r="U901" s="3"/>
      <c r="V901" s="3"/>
      <c r="W901" s="3"/>
      <c r="X901" s="3"/>
      <c r="Y901" s="3"/>
    </row>
    <row r="902" spans="3:25" x14ac:dyDescent="0.2">
      <c r="C902" s="3"/>
      <c r="E902" s="3"/>
      <c r="G902" s="3"/>
      <c r="I902" s="3"/>
      <c r="K902" s="3"/>
      <c r="M902" s="3"/>
      <c r="O902" s="3"/>
      <c r="Q902" s="3"/>
      <c r="S902" s="3"/>
      <c r="U902" s="3"/>
      <c r="V902" s="3"/>
      <c r="W902" s="3"/>
      <c r="X902" s="3"/>
      <c r="Y902" s="3"/>
    </row>
    <row r="903" spans="3:25" x14ac:dyDescent="0.2">
      <c r="C903" s="3"/>
      <c r="E903" s="3"/>
      <c r="G903" s="3"/>
      <c r="I903" s="3"/>
      <c r="K903" s="3"/>
      <c r="M903" s="3"/>
      <c r="O903" s="3"/>
      <c r="Q903" s="3"/>
      <c r="S903" s="3"/>
      <c r="U903" s="3"/>
      <c r="V903" s="3"/>
      <c r="W903" s="3"/>
      <c r="X903" s="3"/>
      <c r="Y903" s="3"/>
    </row>
    <row r="904" spans="3:25" x14ac:dyDescent="0.2">
      <c r="C904" s="3"/>
      <c r="E904" s="3"/>
      <c r="G904" s="3"/>
      <c r="I904" s="3"/>
      <c r="K904" s="3"/>
      <c r="M904" s="3"/>
      <c r="O904" s="3"/>
      <c r="Q904" s="3"/>
      <c r="S904" s="3"/>
      <c r="U904" s="3"/>
      <c r="V904" s="3"/>
      <c r="W904" s="3"/>
      <c r="X904" s="3"/>
      <c r="Y904" s="3"/>
    </row>
    <row r="905" spans="3:25" x14ac:dyDescent="0.2">
      <c r="C905" s="3"/>
      <c r="E905" s="3"/>
      <c r="G905" s="3"/>
      <c r="I905" s="3"/>
      <c r="K905" s="3"/>
      <c r="M905" s="3"/>
      <c r="O905" s="3"/>
      <c r="Q905" s="3"/>
      <c r="S905" s="3"/>
      <c r="U905" s="3"/>
      <c r="V905" s="3"/>
      <c r="W905" s="3"/>
      <c r="X905" s="3"/>
      <c r="Y905" s="3"/>
    </row>
    <row r="906" spans="3:25" x14ac:dyDescent="0.2">
      <c r="C906" s="3"/>
      <c r="E906" s="3"/>
      <c r="G906" s="3"/>
      <c r="I906" s="3"/>
      <c r="K906" s="3"/>
      <c r="M906" s="3"/>
      <c r="O906" s="3"/>
      <c r="Q906" s="3"/>
      <c r="S906" s="3"/>
      <c r="U906" s="3"/>
      <c r="V906" s="3"/>
      <c r="W906" s="3"/>
      <c r="X906" s="3"/>
      <c r="Y906" s="3"/>
    </row>
    <row r="907" spans="3:25" x14ac:dyDescent="0.2">
      <c r="C907" s="3"/>
      <c r="E907" s="3"/>
      <c r="G907" s="3"/>
      <c r="I907" s="3"/>
      <c r="K907" s="3"/>
      <c r="M907" s="3"/>
      <c r="O907" s="3"/>
      <c r="Q907" s="3"/>
      <c r="S907" s="3"/>
      <c r="U907" s="3"/>
      <c r="V907" s="3"/>
      <c r="W907" s="3"/>
      <c r="X907" s="3"/>
      <c r="Y907" s="3"/>
    </row>
    <row r="908" spans="3:25" x14ac:dyDescent="0.2">
      <c r="C908" s="3"/>
      <c r="E908" s="3"/>
      <c r="G908" s="3"/>
      <c r="I908" s="3"/>
      <c r="K908" s="3"/>
      <c r="M908" s="3"/>
      <c r="O908" s="3"/>
      <c r="Q908" s="3"/>
      <c r="S908" s="3"/>
      <c r="U908" s="3"/>
      <c r="V908" s="3"/>
      <c r="W908" s="3"/>
      <c r="X908" s="3"/>
      <c r="Y908" s="3"/>
    </row>
    <row r="909" spans="3:25" x14ac:dyDescent="0.2">
      <c r="C909" s="3"/>
      <c r="E909" s="3"/>
      <c r="G909" s="3"/>
      <c r="I909" s="3"/>
      <c r="K909" s="3"/>
      <c r="M909" s="3"/>
      <c r="O909" s="3"/>
      <c r="Q909" s="3"/>
      <c r="S909" s="3"/>
      <c r="U909" s="3"/>
      <c r="V909" s="3"/>
      <c r="W909" s="3"/>
      <c r="X909" s="3"/>
      <c r="Y909" s="3"/>
    </row>
    <row r="910" spans="3:25" x14ac:dyDescent="0.2">
      <c r="C910" s="3"/>
      <c r="E910" s="3"/>
      <c r="G910" s="3"/>
      <c r="I910" s="3"/>
      <c r="K910" s="3"/>
      <c r="M910" s="3"/>
      <c r="O910" s="3"/>
      <c r="Q910" s="3"/>
      <c r="S910" s="3"/>
      <c r="U910" s="3"/>
      <c r="V910" s="3"/>
      <c r="W910" s="3"/>
      <c r="X910" s="3"/>
      <c r="Y910" s="3"/>
    </row>
    <row r="911" spans="3:25" x14ac:dyDescent="0.2">
      <c r="C911" s="3"/>
      <c r="E911" s="3"/>
      <c r="G911" s="3"/>
      <c r="I911" s="3"/>
      <c r="K911" s="3"/>
      <c r="M911" s="3"/>
      <c r="O911" s="3"/>
      <c r="Q911" s="3"/>
      <c r="S911" s="3"/>
      <c r="U911" s="3"/>
      <c r="V911" s="3"/>
      <c r="W911" s="3"/>
      <c r="X911" s="3"/>
      <c r="Y911" s="3"/>
    </row>
    <row r="912" spans="3:25" x14ac:dyDescent="0.2">
      <c r="C912" s="3"/>
      <c r="E912" s="3"/>
      <c r="G912" s="3"/>
      <c r="I912" s="3"/>
      <c r="K912" s="3"/>
      <c r="M912" s="3"/>
      <c r="O912" s="3"/>
      <c r="Q912" s="3"/>
      <c r="S912" s="3"/>
      <c r="U912" s="3"/>
      <c r="V912" s="3"/>
      <c r="W912" s="3"/>
      <c r="X912" s="3"/>
      <c r="Y912" s="3"/>
    </row>
    <row r="913" spans="3:25" x14ac:dyDescent="0.2">
      <c r="C913" s="3"/>
      <c r="E913" s="3"/>
      <c r="G913" s="3"/>
      <c r="I913" s="3"/>
      <c r="K913" s="3"/>
      <c r="M913" s="3"/>
      <c r="O913" s="3"/>
      <c r="Q913" s="3"/>
      <c r="S913" s="3"/>
      <c r="U913" s="3"/>
      <c r="V913" s="3"/>
      <c r="W913" s="3"/>
      <c r="X913" s="3"/>
      <c r="Y913" s="3"/>
    </row>
    <row r="914" spans="3:25" x14ac:dyDescent="0.2">
      <c r="C914" s="3"/>
      <c r="E914" s="3"/>
      <c r="G914" s="3"/>
      <c r="I914" s="3"/>
      <c r="K914" s="3"/>
      <c r="M914" s="3"/>
      <c r="O914" s="3"/>
      <c r="Q914" s="3"/>
      <c r="S914" s="3"/>
      <c r="U914" s="3"/>
      <c r="V914" s="3"/>
      <c r="W914" s="3"/>
      <c r="X914" s="3"/>
      <c r="Y914" s="3"/>
    </row>
    <row r="915" spans="3:25" x14ac:dyDescent="0.2">
      <c r="C915" s="3"/>
      <c r="E915" s="3"/>
      <c r="G915" s="3"/>
      <c r="I915" s="3"/>
      <c r="K915" s="3"/>
      <c r="M915" s="3"/>
      <c r="O915" s="3"/>
      <c r="Q915" s="3"/>
      <c r="S915" s="3"/>
      <c r="U915" s="3"/>
      <c r="V915" s="3"/>
      <c r="W915" s="3"/>
      <c r="X915" s="3"/>
      <c r="Y915" s="3"/>
    </row>
    <row r="916" spans="3:25" x14ac:dyDescent="0.2">
      <c r="C916" s="3"/>
      <c r="E916" s="3"/>
      <c r="G916" s="3"/>
      <c r="I916" s="3"/>
      <c r="K916" s="3"/>
      <c r="M916" s="3"/>
      <c r="O916" s="3"/>
      <c r="Q916" s="3"/>
      <c r="S916" s="3"/>
      <c r="U916" s="3"/>
      <c r="V916" s="3"/>
      <c r="W916" s="3"/>
      <c r="X916" s="3"/>
      <c r="Y916" s="3"/>
    </row>
    <row r="917" spans="3:25" x14ac:dyDescent="0.2">
      <c r="C917" s="3"/>
      <c r="E917" s="3"/>
      <c r="G917" s="3"/>
      <c r="I917" s="3"/>
      <c r="K917" s="3"/>
      <c r="M917" s="3"/>
      <c r="O917" s="3"/>
      <c r="Q917" s="3"/>
      <c r="S917" s="3"/>
      <c r="U917" s="3"/>
      <c r="V917" s="3"/>
      <c r="W917" s="3"/>
      <c r="X917" s="3"/>
      <c r="Y917" s="3"/>
    </row>
    <row r="918" spans="3:25" x14ac:dyDescent="0.2">
      <c r="C918" s="3"/>
      <c r="E918" s="3"/>
      <c r="G918" s="3"/>
      <c r="I918" s="3"/>
      <c r="K918" s="3"/>
      <c r="M918" s="3"/>
      <c r="O918" s="3"/>
      <c r="Q918" s="3"/>
      <c r="S918" s="3"/>
      <c r="U918" s="3"/>
      <c r="V918" s="3"/>
      <c r="W918" s="3"/>
      <c r="X918" s="3"/>
      <c r="Y918" s="3"/>
    </row>
    <row r="919" spans="3:25" x14ac:dyDescent="0.2">
      <c r="C919" s="3"/>
      <c r="E919" s="3"/>
      <c r="G919" s="3"/>
      <c r="I919" s="3"/>
      <c r="K919" s="3"/>
      <c r="M919" s="3"/>
      <c r="O919" s="3"/>
      <c r="Q919" s="3"/>
      <c r="S919" s="3"/>
      <c r="U919" s="3"/>
      <c r="V919" s="3"/>
      <c r="W919" s="3"/>
      <c r="X919" s="3"/>
      <c r="Y919" s="3"/>
    </row>
    <row r="920" spans="3:25" x14ac:dyDescent="0.2">
      <c r="C920" s="3"/>
      <c r="E920" s="3"/>
      <c r="G920" s="3"/>
      <c r="I920" s="3"/>
      <c r="K920" s="3"/>
      <c r="M920" s="3"/>
      <c r="O920" s="3"/>
      <c r="Q920" s="3"/>
      <c r="S920" s="3"/>
      <c r="U920" s="3"/>
      <c r="V920" s="3"/>
      <c r="W920" s="3"/>
      <c r="X920" s="3"/>
      <c r="Y920" s="3"/>
    </row>
    <row r="921" spans="3:25" x14ac:dyDescent="0.2">
      <c r="C921" s="3"/>
      <c r="E921" s="3"/>
      <c r="G921" s="3"/>
      <c r="I921" s="3"/>
      <c r="K921" s="3"/>
      <c r="M921" s="3"/>
      <c r="O921" s="3"/>
      <c r="Q921" s="3"/>
      <c r="S921" s="3"/>
      <c r="U921" s="3"/>
      <c r="V921" s="3"/>
      <c r="W921" s="3"/>
      <c r="X921" s="3"/>
      <c r="Y921" s="3"/>
    </row>
    <row r="922" spans="3:25" x14ac:dyDescent="0.2">
      <c r="C922" s="3"/>
      <c r="E922" s="3"/>
      <c r="G922" s="3"/>
      <c r="I922" s="3"/>
      <c r="K922" s="3"/>
      <c r="M922" s="3"/>
      <c r="O922" s="3"/>
      <c r="Q922" s="3"/>
      <c r="S922" s="3"/>
      <c r="U922" s="3"/>
      <c r="V922" s="3"/>
      <c r="W922" s="3"/>
      <c r="X922" s="3"/>
      <c r="Y922" s="3"/>
    </row>
    <row r="923" spans="3:25" x14ac:dyDescent="0.2">
      <c r="C923" s="3"/>
      <c r="E923" s="3"/>
      <c r="G923" s="3"/>
      <c r="I923" s="3"/>
      <c r="K923" s="3"/>
      <c r="M923" s="3"/>
      <c r="O923" s="3"/>
      <c r="Q923" s="3"/>
      <c r="S923" s="3"/>
      <c r="U923" s="3"/>
      <c r="V923" s="3"/>
      <c r="W923" s="3"/>
      <c r="X923" s="3"/>
      <c r="Y923" s="3"/>
    </row>
    <row r="924" spans="3:25" x14ac:dyDescent="0.2">
      <c r="C924" s="3"/>
      <c r="E924" s="3"/>
      <c r="G924" s="3"/>
      <c r="I924" s="3"/>
      <c r="K924" s="3"/>
      <c r="M924" s="3"/>
      <c r="O924" s="3"/>
      <c r="Q924" s="3"/>
      <c r="S924" s="3"/>
      <c r="U924" s="3"/>
      <c r="V924" s="3"/>
      <c r="W924" s="3"/>
      <c r="X924" s="3"/>
      <c r="Y924" s="3"/>
    </row>
    <row r="925" spans="3:25" x14ac:dyDescent="0.2">
      <c r="C925" s="3"/>
      <c r="E925" s="3"/>
      <c r="G925" s="3"/>
      <c r="I925" s="3"/>
      <c r="K925" s="3"/>
      <c r="M925" s="3"/>
      <c r="O925" s="3"/>
      <c r="Q925" s="3"/>
      <c r="S925" s="3"/>
      <c r="U925" s="3"/>
      <c r="V925" s="3"/>
      <c r="W925" s="3"/>
      <c r="X925" s="3"/>
      <c r="Y925" s="3"/>
    </row>
    <row r="926" spans="3:25" x14ac:dyDescent="0.2">
      <c r="C926" s="3"/>
      <c r="E926" s="3"/>
      <c r="G926" s="3"/>
      <c r="I926" s="3"/>
      <c r="K926" s="3"/>
      <c r="M926" s="3"/>
      <c r="O926" s="3"/>
      <c r="Q926" s="3"/>
      <c r="S926" s="3"/>
      <c r="U926" s="3"/>
      <c r="V926" s="3"/>
      <c r="W926" s="3"/>
      <c r="X926" s="3"/>
      <c r="Y926" s="3"/>
    </row>
    <row r="927" spans="3:25" x14ac:dyDescent="0.2">
      <c r="C927" s="3"/>
      <c r="E927" s="3"/>
      <c r="G927" s="3"/>
      <c r="I927" s="3"/>
      <c r="K927" s="3"/>
      <c r="M927" s="3"/>
      <c r="O927" s="3"/>
      <c r="Q927" s="3"/>
      <c r="S927" s="3"/>
      <c r="U927" s="3"/>
      <c r="V927" s="3"/>
      <c r="W927" s="3"/>
      <c r="X927" s="3"/>
      <c r="Y927" s="3"/>
    </row>
    <row r="928" spans="3:25" x14ac:dyDescent="0.2">
      <c r="C928" s="3"/>
      <c r="E928" s="3"/>
      <c r="G928" s="3"/>
      <c r="I928" s="3"/>
      <c r="K928" s="3"/>
      <c r="M928" s="3"/>
      <c r="O928" s="3"/>
      <c r="Q928" s="3"/>
      <c r="S928" s="3"/>
      <c r="U928" s="3"/>
      <c r="V928" s="3"/>
      <c r="W928" s="3"/>
      <c r="X928" s="3"/>
      <c r="Y928" s="3"/>
    </row>
    <row r="929" spans="3:25" x14ac:dyDescent="0.2">
      <c r="C929" s="3"/>
      <c r="E929" s="3"/>
      <c r="G929" s="3"/>
      <c r="I929" s="3"/>
      <c r="K929" s="3"/>
      <c r="M929" s="3"/>
      <c r="O929" s="3"/>
      <c r="Q929" s="3"/>
      <c r="S929" s="3"/>
      <c r="U929" s="3"/>
      <c r="V929" s="3"/>
      <c r="W929" s="3"/>
      <c r="X929" s="3"/>
      <c r="Y929" s="3"/>
    </row>
    <row r="930" spans="3:25" x14ac:dyDescent="0.2">
      <c r="C930" s="3"/>
      <c r="E930" s="3"/>
      <c r="G930" s="3"/>
      <c r="I930" s="3"/>
      <c r="K930" s="3"/>
      <c r="M930" s="3"/>
      <c r="O930" s="3"/>
      <c r="Q930" s="3"/>
      <c r="S930" s="3"/>
      <c r="U930" s="3"/>
      <c r="V930" s="3"/>
      <c r="W930" s="3"/>
      <c r="X930" s="3"/>
      <c r="Y930" s="3"/>
    </row>
    <row r="931" spans="3:25" x14ac:dyDescent="0.2">
      <c r="C931" s="3"/>
      <c r="E931" s="3"/>
      <c r="G931" s="3"/>
      <c r="I931" s="3"/>
      <c r="K931" s="3"/>
      <c r="M931" s="3"/>
      <c r="O931" s="3"/>
      <c r="Q931" s="3"/>
      <c r="S931" s="3"/>
      <c r="U931" s="3"/>
      <c r="V931" s="3"/>
      <c r="W931" s="3"/>
      <c r="X931" s="3"/>
      <c r="Y931" s="3"/>
    </row>
    <row r="932" spans="3:25" x14ac:dyDescent="0.2">
      <c r="C932" s="3"/>
      <c r="E932" s="3"/>
      <c r="G932" s="3"/>
      <c r="I932" s="3"/>
      <c r="K932" s="3"/>
      <c r="M932" s="3"/>
      <c r="O932" s="3"/>
      <c r="Q932" s="3"/>
      <c r="S932" s="3"/>
      <c r="U932" s="3"/>
      <c r="V932" s="3"/>
      <c r="W932" s="3"/>
      <c r="X932" s="3"/>
      <c r="Y932" s="3"/>
    </row>
    <row r="933" spans="3:25" x14ac:dyDescent="0.2">
      <c r="C933" s="3"/>
      <c r="E933" s="3"/>
      <c r="G933" s="3"/>
      <c r="I933" s="3"/>
      <c r="K933" s="3"/>
      <c r="M933" s="3"/>
      <c r="O933" s="3"/>
      <c r="Q933" s="3"/>
      <c r="S933" s="3"/>
      <c r="U933" s="3"/>
      <c r="V933" s="3"/>
      <c r="W933" s="3"/>
      <c r="X933" s="3"/>
      <c r="Y933" s="3"/>
    </row>
    <row r="934" spans="3:25" x14ac:dyDescent="0.2">
      <c r="C934" s="3"/>
      <c r="E934" s="3"/>
      <c r="G934" s="3"/>
      <c r="I934" s="3"/>
      <c r="K934" s="3"/>
      <c r="M934" s="3"/>
      <c r="O934" s="3"/>
      <c r="Q934" s="3"/>
      <c r="S934" s="3"/>
      <c r="U934" s="3"/>
      <c r="V934" s="3"/>
      <c r="W934" s="3"/>
      <c r="X934" s="3"/>
      <c r="Y934" s="3"/>
    </row>
    <row r="935" spans="3:25" x14ac:dyDescent="0.2">
      <c r="C935" s="3"/>
      <c r="E935" s="3"/>
      <c r="G935" s="3"/>
      <c r="I935" s="3"/>
      <c r="K935" s="3"/>
      <c r="M935" s="3"/>
      <c r="O935" s="3"/>
      <c r="Q935" s="3"/>
      <c r="S935" s="3"/>
      <c r="U935" s="3"/>
      <c r="V935" s="3"/>
      <c r="W935" s="3"/>
      <c r="X935" s="3"/>
      <c r="Y935" s="3"/>
    </row>
    <row r="936" spans="3:25" x14ac:dyDescent="0.2">
      <c r="C936" s="3"/>
      <c r="E936" s="3"/>
      <c r="G936" s="3"/>
      <c r="I936" s="3"/>
      <c r="K936" s="3"/>
      <c r="M936" s="3"/>
      <c r="O936" s="3"/>
      <c r="Q936" s="3"/>
      <c r="S936" s="3"/>
      <c r="U936" s="3"/>
      <c r="V936" s="3"/>
      <c r="W936" s="3"/>
      <c r="X936" s="3"/>
      <c r="Y936" s="3"/>
    </row>
    <row r="937" spans="3:25" x14ac:dyDescent="0.2">
      <c r="C937" s="3"/>
      <c r="E937" s="3"/>
      <c r="G937" s="3"/>
      <c r="I937" s="3"/>
      <c r="K937" s="3"/>
      <c r="M937" s="3"/>
      <c r="O937" s="3"/>
      <c r="Q937" s="3"/>
      <c r="S937" s="3"/>
      <c r="U937" s="3"/>
      <c r="V937" s="3"/>
      <c r="W937" s="3"/>
      <c r="X937" s="3"/>
      <c r="Y937" s="3"/>
    </row>
    <row r="938" spans="3:25" x14ac:dyDescent="0.2">
      <c r="C938" s="3"/>
      <c r="E938" s="3"/>
      <c r="G938" s="3"/>
      <c r="I938" s="3"/>
      <c r="K938" s="3"/>
      <c r="M938" s="3"/>
      <c r="O938" s="3"/>
      <c r="Q938" s="3"/>
      <c r="S938" s="3"/>
      <c r="U938" s="3"/>
      <c r="V938" s="3"/>
      <c r="W938" s="3"/>
      <c r="X938" s="3"/>
      <c r="Y938" s="3"/>
    </row>
    <row r="939" spans="3:25" x14ac:dyDescent="0.2">
      <c r="C939" s="3"/>
      <c r="E939" s="3"/>
      <c r="G939" s="3"/>
      <c r="I939" s="3"/>
      <c r="K939" s="3"/>
      <c r="M939" s="3"/>
      <c r="O939" s="3"/>
      <c r="Q939" s="3"/>
      <c r="S939" s="3"/>
      <c r="U939" s="3"/>
      <c r="V939" s="3"/>
      <c r="W939" s="3"/>
      <c r="X939" s="3"/>
      <c r="Y939" s="3"/>
    </row>
    <row r="940" spans="3:25" x14ac:dyDescent="0.2">
      <c r="C940" s="3"/>
      <c r="E940" s="3"/>
      <c r="G940" s="3"/>
      <c r="I940" s="3"/>
      <c r="K940" s="3"/>
      <c r="M940" s="3"/>
      <c r="O940" s="3"/>
      <c r="Q940" s="3"/>
      <c r="S940" s="3"/>
      <c r="U940" s="3"/>
      <c r="V940" s="3"/>
      <c r="W940" s="3"/>
      <c r="X940" s="3"/>
      <c r="Y940" s="3"/>
    </row>
    <row r="941" spans="3:25" x14ac:dyDescent="0.2">
      <c r="C941" s="3"/>
      <c r="E941" s="3"/>
      <c r="G941" s="3"/>
      <c r="I941" s="3"/>
      <c r="K941" s="3"/>
      <c r="M941" s="3"/>
      <c r="O941" s="3"/>
      <c r="Q941" s="3"/>
      <c r="S941" s="3"/>
      <c r="U941" s="3"/>
      <c r="V941" s="3"/>
      <c r="W941" s="3"/>
      <c r="X941" s="3"/>
      <c r="Y941" s="3"/>
    </row>
    <row r="942" spans="3:25" x14ac:dyDescent="0.2">
      <c r="C942" s="3"/>
      <c r="E942" s="3"/>
      <c r="G942" s="3"/>
      <c r="I942" s="3"/>
      <c r="K942" s="3"/>
      <c r="M942" s="3"/>
      <c r="O942" s="3"/>
      <c r="Q942" s="3"/>
      <c r="S942" s="3"/>
      <c r="U942" s="3"/>
      <c r="V942" s="3"/>
      <c r="W942" s="3"/>
      <c r="X942" s="3"/>
      <c r="Y942" s="3"/>
    </row>
    <row r="943" spans="3:25" x14ac:dyDescent="0.2">
      <c r="C943" s="3"/>
      <c r="E943" s="3"/>
      <c r="G943" s="3"/>
      <c r="I943" s="3"/>
      <c r="K943" s="3"/>
      <c r="M943" s="3"/>
      <c r="O943" s="3"/>
      <c r="Q943" s="3"/>
      <c r="S943" s="3"/>
      <c r="U943" s="3"/>
      <c r="V943" s="3"/>
      <c r="W943" s="3"/>
      <c r="X943" s="3"/>
      <c r="Y943" s="3"/>
    </row>
    <row r="944" spans="3:25" x14ac:dyDescent="0.2">
      <c r="C944" s="3"/>
      <c r="E944" s="3"/>
      <c r="G944" s="3"/>
      <c r="I944" s="3"/>
      <c r="K944" s="3"/>
      <c r="M944" s="3"/>
      <c r="O944" s="3"/>
      <c r="Q944" s="3"/>
      <c r="S944" s="3"/>
      <c r="U944" s="3"/>
      <c r="V944" s="3"/>
      <c r="W944" s="3"/>
      <c r="X944" s="3"/>
      <c r="Y944" s="3"/>
    </row>
    <row r="945" spans="3:25" x14ac:dyDescent="0.2">
      <c r="C945" s="3"/>
      <c r="E945" s="3"/>
      <c r="G945" s="3"/>
      <c r="I945" s="3"/>
      <c r="K945" s="3"/>
      <c r="M945" s="3"/>
      <c r="O945" s="3"/>
      <c r="Q945" s="3"/>
      <c r="S945" s="3"/>
      <c r="U945" s="3"/>
      <c r="V945" s="3"/>
      <c r="W945" s="3"/>
      <c r="X945" s="3"/>
      <c r="Y945" s="3"/>
    </row>
    <row r="946" spans="3:25" x14ac:dyDescent="0.2">
      <c r="C946" s="3"/>
      <c r="E946" s="3"/>
      <c r="G946" s="3"/>
      <c r="I946" s="3"/>
      <c r="K946" s="3"/>
      <c r="M946" s="3"/>
      <c r="O946" s="3"/>
      <c r="Q946" s="3"/>
      <c r="S946" s="3"/>
      <c r="U946" s="3"/>
      <c r="V946" s="3"/>
      <c r="W946" s="3"/>
      <c r="X946" s="3"/>
      <c r="Y946" s="3"/>
    </row>
    <row r="947" spans="3:25" x14ac:dyDescent="0.2">
      <c r="C947" s="3"/>
      <c r="E947" s="3"/>
      <c r="G947" s="3"/>
      <c r="I947" s="3"/>
      <c r="K947" s="3"/>
      <c r="M947" s="3"/>
      <c r="O947" s="3"/>
      <c r="Q947" s="3"/>
      <c r="S947" s="3"/>
      <c r="U947" s="3"/>
      <c r="V947" s="3"/>
      <c r="W947" s="3"/>
      <c r="X947" s="3"/>
      <c r="Y947" s="3"/>
    </row>
    <row r="948" spans="3:25" x14ac:dyDescent="0.2">
      <c r="C948" s="3"/>
      <c r="E948" s="3"/>
      <c r="G948" s="3"/>
      <c r="I948" s="3"/>
      <c r="K948" s="3"/>
      <c r="M948" s="3"/>
      <c r="O948" s="3"/>
      <c r="Q948" s="3"/>
      <c r="S948" s="3"/>
      <c r="U948" s="3"/>
      <c r="V948" s="3"/>
      <c r="W948" s="3"/>
      <c r="X948" s="3"/>
      <c r="Y948" s="3"/>
    </row>
    <row r="949" spans="3:25" x14ac:dyDescent="0.2">
      <c r="C949" s="3"/>
      <c r="E949" s="3"/>
      <c r="G949" s="3"/>
      <c r="I949" s="3"/>
      <c r="K949" s="3"/>
      <c r="M949" s="3"/>
      <c r="O949" s="3"/>
      <c r="Q949" s="3"/>
      <c r="S949" s="3"/>
      <c r="U949" s="3"/>
      <c r="V949" s="3"/>
      <c r="W949" s="3"/>
      <c r="X949" s="3"/>
      <c r="Y949" s="3"/>
    </row>
    <row r="950" spans="3:25" x14ac:dyDescent="0.2">
      <c r="C950" s="3"/>
      <c r="E950" s="3"/>
      <c r="G950" s="3"/>
      <c r="I950" s="3"/>
      <c r="K950" s="3"/>
      <c r="M950" s="3"/>
      <c r="O950" s="3"/>
      <c r="Q950" s="3"/>
      <c r="S950" s="3"/>
      <c r="U950" s="3"/>
      <c r="V950" s="3"/>
      <c r="W950" s="3"/>
      <c r="X950" s="3"/>
      <c r="Y950" s="3"/>
    </row>
    <row r="951" spans="3:25" x14ac:dyDescent="0.2">
      <c r="C951" s="3"/>
      <c r="E951" s="3"/>
      <c r="G951" s="3"/>
      <c r="I951" s="3"/>
      <c r="K951" s="3"/>
      <c r="M951" s="3"/>
      <c r="O951" s="3"/>
      <c r="Q951" s="3"/>
      <c r="S951" s="3"/>
      <c r="U951" s="3"/>
      <c r="V951" s="3"/>
      <c r="W951" s="3"/>
      <c r="X951" s="3"/>
      <c r="Y951" s="3"/>
    </row>
    <row r="952" spans="3:25" x14ac:dyDescent="0.2">
      <c r="C952" s="3"/>
      <c r="E952" s="3"/>
      <c r="G952" s="3"/>
      <c r="I952" s="3"/>
      <c r="K952" s="3"/>
      <c r="M952" s="3"/>
      <c r="O952" s="3"/>
      <c r="Q952" s="3"/>
      <c r="S952" s="3"/>
      <c r="U952" s="3"/>
      <c r="V952" s="3"/>
      <c r="W952" s="3"/>
      <c r="X952" s="3"/>
      <c r="Y952" s="3"/>
    </row>
    <row r="953" spans="3:25" x14ac:dyDescent="0.2">
      <c r="C953" s="3"/>
      <c r="E953" s="3"/>
      <c r="G953" s="3"/>
      <c r="I953" s="3"/>
      <c r="K953" s="3"/>
      <c r="M953" s="3"/>
      <c r="O953" s="3"/>
      <c r="Q953" s="3"/>
      <c r="S953" s="3"/>
      <c r="U953" s="3"/>
      <c r="V953" s="3"/>
      <c r="W953" s="3"/>
      <c r="X953" s="3"/>
      <c r="Y953" s="3"/>
    </row>
    <row r="954" spans="3:25" x14ac:dyDescent="0.2">
      <c r="C954" s="3"/>
      <c r="E954" s="3"/>
      <c r="G954" s="3"/>
      <c r="I954" s="3"/>
      <c r="K954" s="3"/>
      <c r="M954" s="3"/>
      <c r="O954" s="3"/>
      <c r="Q954" s="3"/>
      <c r="S954" s="3"/>
      <c r="U954" s="3"/>
      <c r="V954" s="3"/>
      <c r="W954" s="3"/>
      <c r="X954" s="3"/>
      <c r="Y954" s="3"/>
    </row>
    <row r="955" spans="3:25" x14ac:dyDescent="0.2">
      <c r="C955" s="3"/>
      <c r="E955" s="3"/>
      <c r="G955" s="3"/>
      <c r="I955" s="3"/>
      <c r="K955" s="3"/>
      <c r="M955" s="3"/>
      <c r="O955" s="3"/>
      <c r="Q955" s="3"/>
      <c r="S955" s="3"/>
      <c r="U955" s="3"/>
      <c r="V955" s="3"/>
      <c r="W955" s="3"/>
      <c r="X955" s="3"/>
      <c r="Y955" s="3"/>
    </row>
    <row r="956" spans="3:25" x14ac:dyDescent="0.2">
      <c r="C956" s="3"/>
      <c r="E956" s="3"/>
      <c r="G956" s="3"/>
      <c r="I956" s="3"/>
      <c r="K956" s="3"/>
      <c r="M956" s="3"/>
      <c r="O956" s="3"/>
      <c r="Q956" s="3"/>
      <c r="S956" s="3"/>
      <c r="U956" s="3"/>
      <c r="V956" s="3"/>
      <c r="W956" s="3"/>
      <c r="X956" s="3"/>
      <c r="Y956" s="3"/>
    </row>
    <row r="957" spans="3:25" x14ac:dyDescent="0.2">
      <c r="C957" s="3"/>
      <c r="E957" s="3"/>
      <c r="G957" s="3"/>
      <c r="I957" s="3"/>
      <c r="K957" s="3"/>
      <c r="M957" s="3"/>
      <c r="O957" s="3"/>
      <c r="Q957" s="3"/>
      <c r="S957" s="3"/>
      <c r="U957" s="3"/>
      <c r="V957" s="3"/>
      <c r="W957" s="3"/>
      <c r="X957" s="3"/>
      <c r="Y957" s="3"/>
    </row>
    <row r="958" spans="3:25" x14ac:dyDescent="0.2">
      <c r="C958" s="3"/>
      <c r="E958" s="3"/>
      <c r="G958" s="3"/>
      <c r="I958" s="3"/>
      <c r="K958" s="3"/>
      <c r="M958" s="3"/>
      <c r="O958" s="3"/>
      <c r="Q958" s="3"/>
      <c r="S958" s="3"/>
      <c r="U958" s="3"/>
      <c r="V958" s="3"/>
      <c r="W958" s="3"/>
      <c r="X958" s="3"/>
      <c r="Y958" s="3"/>
    </row>
    <row r="959" spans="3:25" x14ac:dyDescent="0.2">
      <c r="C959" s="3"/>
      <c r="E959" s="3"/>
      <c r="G959" s="3"/>
      <c r="I959" s="3"/>
      <c r="K959" s="3"/>
      <c r="M959" s="3"/>
      <c r="O959" s="3"/>
      <c r="Q959" s="3"/>
      <c r="S959" s="3"/>
      <c r="U959" s="3"/>
      <c r="V959" s="3"/>
      <c r="W959" s="3"/>
      <c r="X959" s="3"/>
      <c r="Y959" s="3"/>
    </row>
    <row r="960" spans="3:25" x14ac:dyDescent="0.2">
      <c r="C960" s="3"/>
      <c r="E960" s="3"/>
      <c r="G960" s="3"/>
      <c r="I960" s="3"/>
      <c r="K960" s="3"/>
      <c r="M960" s="3"/>
      <c r="O960" s="3"/>
      <c r="Q960" s="3"/>
      <c r="S960" s="3"/>
      <c r="U960" s="3"/>
      <c r="V960" s="3"/>
      <c r="W960" s="3"/>
      <c r="X960" s="3"/>
      <c r="Y960" s="3"/>
    </row>
    <row r="961" spans="3:25" x14ac:dyDescent="0.2">
      <c r="C961" s="3"/>
      <c r="E961" s="3"/>
      <c r="G961" s="3"/>
      <c r="I961" s="3"/>
      <c r="K961" s="3"/>
      <c r="M961" s="3"/>
      <c r="O961" s="3"/>
      <c r="Q961" s="3"/>
      <c r="S961" s="3"/>
      <c r="U961" s="3"/>
      <c r="V961" s="3"/>
      <c r="W961" s="3"/>
      <c r="X961" s="3"/>
      <c r="Y961" s="3"/>
    </row>
    <row r="962" spans="3:25" x14ac:dyDescent="0.2">
      <c r="C962" s="3"/>
      <c r="E962" s="3"/>
      <c r="G962" s="3"/>
      <c r="I962" s="3"/>
      <c r="K962" s="3"/>
      <c r="M962" s="3"/>
      <c r="O962" s="3"/>
      <c r="Q962" s="3"/>
      <c r="S962" s="3"/>
      <c r="U962" s="3"/>
      <c r="V962" s="3"/>
      <c r="W962" s="3"/>
      <c r="X962" s="3"/>
      <c r="Y962" s="3"/>
    </row>
    <row r="963" spans="3:25" x14ac:dyDescent="0.2">
      <c r="C963" s="3"/>
      <c r="E963" s="3"/>
      <c r="G963" s="3"/>
      <c r="I963" s="3"/>
      <c r="K963" s="3"/>
      <c r="M963" s="3"/>
      <c r="O963" s="3"/>
      <c r="Q963" s="3"/>
      <c r="S963" s="3"/>
      <c r="U963" s="3"/>
      <c r="V963" s="3"/>
      <c r="W963" s="3"/>
      <c r="X963" s="3"/>
      <c r="Y963" s="3"/>
    </row>
    <row r="964" spans="3:25" x14ac:dyDescent="0.2">
      <c r="C964" s="3"/>
      <c r="E964" s="3"/>
      <c r="G964" s="3"/>
      <c r="I964" s="3"/>
      <c r="K964" s="3"/>
      <c r="M964" s="3"/>
      <c r="O964" s="3"/>
      <c r="Q964" s="3"/>
      <c r="S964" s="3"/>
      <c r="U964" s="3"/>
      <c r="V964" s="3"/>
      <c r="W964" s="3"/>
      <c r="X964" s="3"/>
      <c r="Y964" s="3"/>
    </row>
    <row r="965" spans="3:25" x14ac:dyDescent="0.2">
      <c r="C965" s="3"/>
      <c r="E965" s="3"/>
      <c r="G965" s="3"/>
      <c r="I965" s="3"/>
      <c r="K965" s="3"/>
      <c r="M965" s="3"/>
      <c r="O965" s="3"/>
      <c r="Q965" s="3"/>
      <c r="S965" s="3"/>
      <c r="U965" s="3"/>
      <c r="V965" s="3"/>
      <c r="W965" s="3"/>
      <c r="X965" s="3"/>
      <c r="Y965" s="3"/>
    </row>
    <row r="966" spans="3:25" x14ac:dyDescent="0.2">
      <c r="C966" s="3"/>
      <c r="E966" s="3"/>
      <c r="G966" s="3"/>
      <c r="I966" s="3"/>
      <c r="K966" s="3"/>
      <c r="M966" s="3"/>
      <c r="O966" s="3"/>
      <c r="Q966" s="3"/>
      <c r="S966" s="3"/>
      <c r="U966" s="3"/>
      <c r="V966" s="3"/>
      <c r="W966" s="3"/>
      <c r="X966" s="3"/>
      <c r="Y966" s="3"/>
    </row>
    <row r="967" spans="3:25" x14ac:dyDescent="0.2">
      <c r="C967" s="3"/>
      <c r="E967" s="3"/>
      <c r="G967" s="3"/>
      <c r="I967" s="3"/>
      <c r="K967" s="3"/>
      <c r="M967" s="3"/>
      <c r="O967" s="3"/>
      <c r="Q967" s="3"/>
      <c r="S967" s="3"/>
      <c r="U967" s="3"/>
      <c r="V967" s="3"/>
      <c r="W967" s="3"/>
      <c r="X967" s="3"/>
      <c r="Y967" s="3"/>
    </row>
    <row r="968" spans="3:25" x14ac:dyDescent="0.2">
      <c r="C968" s="3"/>
      <c r="E968" s="3"/>
      <c r="G968" s="3"/>
      <c r="I968" s="3"/>
      <c r="K968" s="3"/>
      <c r="M968" s="3"/>
      <c r="O968" s="3"/>
      <c r="Q968" s="3"/>
      <c r="S968" s="3"/>
      <c r="U968" s="3"/>
      <c r="V968" s="3"/>
      <c r="W968" s="3"/>
      <c r="X968" s="3"/>
      <c r="Y968" s="3"/>
    </row>
    <row r="969" spans="3:25" x14ac:dyDescent="0.2">
      <c r="C969" s="3"/>
      <c r="E969" s="3"/>
      <c r="G969" s="3"/>
      <c r="I969" s="3"/>
      <c r="K969" s="3"/>
      <c r="M969" s="3"/>
      <c r="O969" s="3"/>
      <c r="Q969" s="3"/>
      <c r="S969" s="3"/>
      <c r="U969" s="3"/>
      <c r="V969" s="3"/>
      <c r="W969" s="3"/>
      <c r="X969" s="3"/>
      <c r="Y969" s="3"/>
    </row>
    <row r="970" spans="3:25" x14ac:dyDescent="0.2">
      <c r="C970" s="3"/>
      <c r="E970" s="3"/>
      <c r="G970" s="3"/>
      <c r="I970" s="3"/>
      <c r="K970" s="3"/>
      <c r="M970" s="3"/>
      <c r="O970" s="3"/>
      <c r="Q970" s="3"/>
      <c r="S970" s="3"/>
      <c r="U970" s="3"/>
      <c r="V970" s="3"/>
      <c r="W970" s="3"/>
      <c r="X970" s="3"/>
      <c r="Y970" s="3"/>
    </row>
    <row r="971" spans="3:25" x14ac:dyDescent="0.2">
      <c r="C971" s="3"/>
      <c r="E971" s="3"/>
      <c r="G971" s="3"/>
      <c r="I971" s="3"/>
      <c r="K971" s="3"/>
      <c r="M971" s="3"/>
      <c r="O971" s="3"/>
      <c r="Q971" s="3"/>
      <c r="S971" s="3"/>
      <c r="U971" s="3"/>
      <c r="V971" s="3"/>
      <c r="W971" s="3"/>
      <c r="X971" s="3"/>
      <c r="Y971" s="3"/>
    </row>
    <row r="972" spans="3:25" x14ac:dyDescent="0.2">
      <c r="C972" s="3"/>
      <c r="E972" s="3"/>
      <c r="G972" s="3"/>
      <c r="I972" s="3"/>
      <c r="K972" s="3"/>
      <c r="M972" s="3"/>
      <c r="O972" s="3"/>
      <c r="Q972" s="3"/>
      <c r="S972" s="3"/>
      <c r="U972" s="3"/>
      <c r="V972" s="3"/>
      <c r="W972" s="3"/>
      <c r="X972" s="3"/>
      <c r="Y972" s="3"/>
    </row>
    <row r="973" spans="3:25" x14ac:dyDescent="0.2">
      <c r="C973" s="3"/>
      <c r="E973" s="3"/>
      <c r="G973" s="3"/>
      <c r="I973" s="3"/>
      <c r="K973" s="3"/>
      <c r="M973" s="3"/>
      <c r="O973" s="3"/>
      <c r="Q973" s="3"/>
      <c r="S973" s="3"/>
      <c r="U973" s="3"/>
      <c r="V973" s="3"/>
      <c r="W973" s="3"/>
      <c r="X973" s="3"/>
      <c r="Y973" s="3"/>
    </row>
    <row r="974" spans="3:25" x14ac:dyDescent="0.2">
      <c r="C974" s="3"/>
      <c r="E974" s="3"/>
      <c r="G974" s="3"/>
      <c r="I974" s="3"/>
      <c r="K974" s="3"/>
      <c r="M974" s="3"/>
      <c r="O974" s="3"/>
      <c r="Q974" s="3"/>
      <c r="S974" s="3"/>
      <c r="U974" s="3"/>
      <c r="V974" s="3"/>
      <c r="W974" s="3"/>
      <c r="X974" s="3"/>
      <c r="Y974" s="3"/>
    </row>
    <row r="975" spans="3:25" x14ac:dyDescent="0.2">
      <c r="C975" s="3"/>
      <c r="E975" s="3"/>
      <c r="G975" s="3"/>
      <c r="I975" s="3"/>
      <c r="K975" s="3"/>
      <c r="M975" s="3"/>
      <c r="O975" s="3"/>
      <c r="Q975" s="3"/>
      <c r="S975" s="3"/>
      <c r="U975" s="3"/>
      <c r="V975" s="3"/>
      <c r="W975" s="3"/>
      <c r="X975" s="3"/>
      <c r="Y975" s="3"/>
    </row>
    <row r="976" spans="3:25" x14ac:dyDescent="0.2">
      <c r="C976" s="3"/>
      <c r="E976" s="3"/>
      <c r="G976" s="3"/>
      <c r="I976" s="3"/>
      <c r="K976" s="3"/>
      <c r="M976" s="3"/>
      <c r="O976" s="3"/>
      <c r="Q976" s="3"/>
      <c r="S976" s="3"/>
      <c r="U976" s="3"/>
      <c r="V976" s="3"/>
      <c r="W976" s="3"/>
      <c r="X976" s="3"/>
      <c r="Y976" s="3"/>
    </row>
    <row r="977" spans="3:25" x14ac:dyDescent="0.2">
      <c r="C977" s="3"/>
      <c r="E977" s="3"/>
      <c r="G977" s="3"/>
      <c r="I977" s="3"/>
      <c r="K977" s="3"/>
      <c r="M977" s="3"/>
      <c r="O977" s="3"/>
      <c r="Q977" s="3"/>
      <c r="S977" s="3"/>
      <c r="U977" s="3"/>
      <c r="V977" s="3"/>
      <c r="W977" s="3"/>
      <c r="X977" s="3"/>
      <c r="Y977" s="3"/>
    </row>
    <row r="978" spans="3:25" x14ac:dyDescent="0.2">
      <c r="C978" s="3"/>
      <c r="E978" s="3"/>
      <c r="G978" s="3"/>
      <c r="I978" s="3"/>
      <c r="K978" s="3"/>
      <c r="M978" s="3"/>
      <c r="O978" s="3"/>
      <c r="Q978" s="3"/>
      <c r="S978" s="3"/>
      <c r="U978" s="3"/>
      <c r="V978" s="3"/>
      <c r="W978" s="3"/>
      <c r="X978" s="3"/>
      <c r="Y978" s="3"/>
    </row>
    <row r="979" spans="3:25" x14ac:dyDescent="0.2">
      <c r="C979" s="3"/>
      <c r="E979" s="3"/>
      <c r="G979" s="3"/>
      <c r="I979" s="3"/>
      <c r="K979" s="3"/>
      <c r="M979" s="3"/>
      <c r="O979" s="3"/>
      <c r="Q979" s="3"/>
      <c r="S979" s="3"/>
      <c r="U979" s="3"/>
      <c r="V979" s="3"/>
      <c r="W979" s="3"/>
      <c r="X979" s="3"/>
      <c r="Y979" s="3"/>
    </row>
    <row r="980" spans="3:25" x14ac:dyDescent="0.2">
      <c r="C980" s="3"/>
      <c r="E980" s="3"/>
      <c r="G980" s="3"/>
      <c r="I980" s="3"/>
      <c r="K980" s="3"/>
      <c r="M980" s="3"/>
      <c r="O980" s="3"/>
      <c r="Q980" s="3"/>
      <c r="S980" s="3"/>
      <c r="U980" s="3"/>
      <c r="V980" s="3"/>
      <c r="W980" s="3"/>
      <c r="X980" s="3"/>
      <c r="Y980" s="3"/>
    </row>
    <row r="981" spans="3:25" x14ac:dyDescent="0.2">
      <c r="C981" s="3"/>
      <c r="E981" s="3"/>
      <c r="G981" s="3"/>
      <c r="I981" s="3"/>
      <c r="K981" s="3"/>
      <c r="M981" s="3"/>
      <c r="O981" s="3"/>
      <c r="Q981" s="3"/>
      <c r="S981" s="3"/>
      <c r="U981" s="3"/>
      <c r="V981" s="3"/>
      <c r="W981" s="3"/>
      <c r="X981" s="3"/>
      <c r="Y981" s="3"/>
    </row>
    <row r="982" spans="3:25" x14ac:dyDescent="0.2">
      <c r="C982" s="3"/>
      <c r="E982" s="3"/>
      <c r="G982" s="3"/>
      <c r="I982" s="3"/>
      <c r="K982" s="3"/>
      <c r="M982" s="3"/>
      <c r="O982" s="3"/>
      <c r="Q982" s="3"/>
      <c r="S982" s="3"/>
      <c r="U982" s="3"/>
      <c r="V982" s="3"/>
      <c r="W982" s="3"/>
      <c r="X982" s="3"/>
      <c r="Y982" s="3"/>
    </row>
    <row r="983" spans="3:25" x14ac:dyDescent="0.2">
      <c r="C983" s="3"/>
      <c r="E983" s="3"/>
      <c r="G983" s="3"/>
      <c r="I983" s="3"/>
      <c r="K983" s="3"/>
      <c r="M983" s="3"/>
      <c r="O983" s="3"/>
      <c r="Q983" s="3"/>
      <c r="S983" s="3"/>
      <c r="U983" s="3"/>
      <c r="V983" s="3"/>
      <c r="W983" s="3"/>
      <c r="X983" s="3"/>
      <c r="Y983" s="3"/>
    </row>
    <row r="984" spans="3:25" x14ac:dyDescent="0.2">
      <c r="C984" s="3"/>
      <c r="E984" s="3"/>
      <c r="G984" s="3"/>
      <c r="I984" s="3"/>
      <c r="K984" s="3"/>
      <c r="M984" s="3"/>
      <c r="O984" s="3"/>
      <c r="Q984" s="3"/>
      <c r="S984" s="3"/>
      <c r="U984" s="3"/>
      <c r="V984" s="3"/>
      <c r="W984" s="3"/>
      <c r="X984" s="3"/>
      <c r="Y984" s="3"/>
    </row>
    <row r="985" spans="3:25" x14ac:dyDescent="0.2">
      <c r="C985" s="3"/>
      <c r="E985" s="3"/>
      <c r="G985" s="3"/>
      <c r="I985" s="3"/>
      <c r="K985" s="3"/>
      <c r="M985" s="3"/>
      <c r="O985" s="3"/>
      <c r="Q985" s="3"/>
      <c r="S985" s="3"/>
      <c r="U985" s="3"/>
      <c r="V985" s="3"/>
      <c r="W985" s="3"/>
      <c r="X985" s="3"/>
      <c r="Y985" s="3"/>
    </row>
    <row r="986" spans="3:25" x14ac:dyDescent="0.2">
      <c r="C986" s="3"/>
      <c r="E986" s="3"/>
      <c r="G986" s="3"/>
      <c r="I986" s="3"/>
      <c r="K986" s="3"/>
      <c r="M986" s="3"/>
      <c r="O986" s="3"/>
      <c r="Q986" s="3"/>
      <c r="S986" s="3"/>
      <c r="U986" s="3"/>
      <c r="V986" s="3"/>
      <c r="W986" s="3"/>
      <c r="X986" s="3"/>
      <c r="Y986" s="3"/>
    </row>
    <row r="987" spans="3:25" x14ac:dyDescent="0.2">
      <c r="C987" s="3"/>
      <c r="E987" s="3"/>
      <c r="G987" s="3"/>
      <c r="I987" s="3"/>
      <c r="K987" s="3"/>
      <c r="M987" s="3"/>
      <c r="O987" s="3"/>
      <c r="Q987" s="3"/>
      <c r="S987" s="3"/>
      <c r="U987" s="3"/>
      <c r="V987" s="3"/>
      <c r="W987" s="3"/>
      <c r="X987" s="3"/>
      <c r="Y987" s="3"/>
    </row>
    <row r="988" spans="3:25" x14ac:dyDescent="0.2">
      <c r="C988" s="3"/>
      <c r="E988" s="3"/>
      <c r="G988" s="3"/>
      <c r="I988" s="3"/>
      <c r="K988" s="3"/>
      <c r="M988" s="3"/>
      <c r="O988" s="3"/>
      <c r="Q988" s="3"/>
      <c r="S988" s="3"/>
      <c r="U988" s="3"/>
      <c r="V988" s="3"/>
      <c r="W988" s="3"/>
      <c r="X988" s="3"/>
      <c r="Y988" s="3"/>
    </row>
    <row r="989" spans="3:25" x14ac:dyDescent="0.2">
      <c r="C989" s="3"/>
      <c r="E989" s="3"/>
      <c r="G989" s="3"/>
      <c r="I989" s="3"/>
      <c r="K989" s="3"/>
      <c r="M989" s="3"/>
      <c r="O989" s="3"/>
      <c r="Q989" s="3"/>
      <c r="S989" s="3"/>
      <c r="U989" s="3"/>
      <c r="V989" s="3"/>
      <c r="W989" s="3"/>
      <c r="X989" s="3"/>
      <c r="Y989" s="3"/>
    </row>
    <row r="990" spans="3:25" x14ac:dyDescent="0.2">
      <c r="C990" s="3"/>
      <c r="E990" s="3"/>
      <c r="G990" s="3"/>
      <c r="I990" s="3"/>
      <c r="K990" s="3"/>
      <c r="M990" s="3"/>
      <c r="O990" s="3"/>
      <c r="Q990" s="3"/>
      <c r="S990" s="3"/>
      <c r="U990" s="3"/>
      <c r="V990" s="3"/>
      <c r="W990" s="3"/>
      <c r="X990" s="3"/>
      <c r="Y990" s="3"/>
    </row>
    <row r="991" spans="3:25" x14ac:dyDescent="0.2">
      <c r="C991" s="3"/>
      <c r="E991" s="3"/>
      <c r="G991" s="3"/>
      <c r="I991" s="3"/>
      <c r="K991" s="3"/>
      <c r="M991" s="3"/>
      <c r="O991" s="3"/>
      <c r="Q991" s="3"/>
      <c r="S991" s="3"/>
      <c r="U991" s="3"/>
      <c r="V991" s="3"/>
      <c r="W991" s="3"/>
      <c r="X991" s="3"/>
      <c r="Y991" s="3"/>
    </row>
    <row r="992" spans="3:25" x14ac:dyDescent="0.2">
      <c r="C992" s="3"/>
      <c r="E992" s="3"/>
      <c r="G992" s="3"/>
      <c r="I992" s="3"/>
      <c r="K992" s="3"/>
      <c r="M992" s="3"/>
      <c r="O992" s="3"/>
      <c r="Q992" s="3"/>
      <c r="S992" s="3"/>
      <c r="U992" s="3"/>
      <c r="V992" s="3"/>
      <c r="W992" s="3"/>
      <c r="X992" s="3"/>
      <c r="Y992" s="3"/>
    </row>
    <row r="993" spans="3:25" x14ac:dyDescent="0.2">
      <c r="C993" s="3"/>
      <c r="E993" s="3"/>
      <c r="G993" s="3"/>
      <c r="I993" s="3"/>
      <c r="K993" s="3"/>
      <c r="M993" s="3"/>
      <c r="O993" s="3"/>
      <c r="Q993" s="3"/>
      <c r="S993" s="3"/>
      <c r="U993" s="3"/>
      <c r="V993" s="3"/>
      <c r="W993" s="3"/>
      <c r="X993" s="3"/>
      <c r="Y993" s="3"/>
    </row>
    <row r="994" spans="3:25" x14ac:dyDescent="0.2">
      <c r="C994" s="3"/>
      <c r="E994" s="3"/>
      <c r="G994" s="3"/>
      <c r="I994" s="3"/>
      <c r="K994" s="3"/>
      <c r="M994" s="3"/>
      <c r="O994" s="3"/>
      <c r="Q994" s="3"/>
      <c r="S994" s="3"/>
      <c r="U994" s="3"/>
      <c r="V994" s="3"/>
      <c r="W994" s="3"/>
      <c r="X994" s="3"/>
      <c r="Y994" s="3"/>
    </row>
    <row r="995" spans="3:25" x14ac:dyDescent="0.2">
      <c r="C995" s="3"/>
      <c r="E995" s="3"/>
      <c r="G995" s="3"/>
      <c r="I995" s="3"/>
      <c r="K995" s="3"/>
      <c r="M995" s="3"/>
      <c r="O995" s="3"/>
      <c r="Q995" s="3"/>
      <c r="S995" s="3"/>
      <c r="U995" s="3"/>
      <c r="V995" s="3"/>
      <c r="W995" s="3"/>
      <c r="X995" s="3"/>
      <c r="Y995" s="3"/>
    </row>
    <row r="996" spans="3:25" x14ac:dyDescent="0.2">
      <c r="C996" s="3"/>
      <c r="E996" s="3"/>
      <c r="G996" s="3"/>
      <c r="I996" s="3"/>
      <c r="K996" s="3"/>
      <c r="M996" s="3"/>
      <c r="O996" s="3"/>
      <c r="Q996" s="3"/>
      <c r="S996" s="3"/>
      <c r="U996" s="3"/>
      <c r="V996" s="3"/>
      <c r="W996" s="3"/>
      <c r="X996" s="3"/>
      <c r="Y996" s="3"/>
    </row>
    <row r="997" spans="3:25" x14ac:dyDescent="0.2">
      <c r="C997" s="3"/>
      <c r="E997" s="3"/>
      <c r="G997" s="3"/>
      <c r="I997" s="3"/>
      <c r="K997" s="3"/>
      <c r="M997" s="3"/>
      <c r="O997" s="3"/>
      <c r="Q997" s="3"/>
      <c r="S997" s="3"/>
      <c r="U997" s="3"/>
      <c r="V997" s="3"/>
      <c r="W997" s="3"/>
      <c r="X997" s="3"/>
      <c r="Y997" s="3"/>
    </row>
    <row r="998" spans="3:25" x14ac:dyDescent="0.2">
      <c r="C998" s="3"/>
      <c r="E998" s="3"/>
      <c r="G998" s="3"/>
      <c r="I998" s="3"/>
      <c r="K998" s="3"/>
      <c r="M998" s="3"/>
      <c r="O998" s="3"/>
      <c r="Q998" s="3"/>
      <c r="S998" s="3"/>
      <c r="U998" s="3"/>
      <c r="V998" s="3"/>
      <c r="W998" s="3"/>
      <c r="X998" s="3"/>
      <c r="Y998" s="3"/>
    </row>
    <row r="999" spans="3:25" x14ac:dyDescent="0.2">
      <c r="C999" s="3"/>
      <c r="E999" s="3"/>
      <c r="G999" s="3"/>
      <c r="I999" s="3"/>
      <c r="K999" s="3"/>
      <c r="M999" s="3"/>
      <c r="O999" s="3"/>
      <c r="Q999" s="3"/>
      <c r="S999" s="3"/>
      <c r="U999" s="3"/>
      <c r="V999" s="3"/>
      <c r="W999" s="3"/>
      <c r="X999" s="3"/>
      <c r="Y999" s="3"/>
    </row>
    <row r="1000" spans="3:25" x14ac:dyDescent="0.2">
      <c r="C1000" s="3"/>
      <c r="E1000" s="3"/>
      <c r="G1000" s="3"/>
      <c r="I1000" s="3"/>
      <c r="K1000" s="3"/>
      <c r="M1000" s="3"/>
      <c r="O1000" s="3"/>
      <c r="Q1000" s="3"/>
      <c r="S1000" s="3"/>
      <c r="U1000" s="3"/>
      <c r="V1000" s="3"/>
      <c r="W1000" s="3"/>
      <c r="X1000" s="3"/>
      <c r="Y1000" s="3"/>
    </row>
    <row r="1001" spans="3:25" x14ac:dyDescent="0.2">
      <c r="C1001" s="3"/>
      <c r="E1001" s="3"/>
      <c r="G1001" s="3"/>
      <c r="I1001" s="3"/>
      <c r="K1001" s="3"/>
      <c r="M1001" s="3"/>
      <c r="O1001" s="3"/>
      <c r="Q1001" s="3"/>
      <c r="S1001" s="3"/>
      <c r="U1001" s="3"/>
      <c r="V1001" s="3"/>
      <c r="W1001" s="3"/>
      <c r="X1001" s="3"/>
      <c r="Y1001" s="3"/>
    </row>
    <row r="1002" spans="3:25" x14ac:dyDescent="0.2">
      <c r="C1002" s="3"/>
      <c r="E1002" s="3"/>
      <c r="G1002" s="3"/>
      <c r="I1002" s="3"/>
      <c r="K1002" s="3"/>
      <c r="M1002" s="3"/>
      <c r="O1002" s="3"/>
      <c r="Q1002" s="3"/>
      <c r="S1002" s="3"/>
      <c r="U1002" s="3"/>
      <c r="V1002" s="3"/>
      <c r="W1002" s="3"/>
      <c r="X1002" s="3"/>
      <c r="Y1002" s="3"/>
    </row>
    <row r="1003" spans="3:25" x14ac:dyDescent="0.2">
      <c r="C1003" s="3"/>
      <c r="E1003" s="3"/>
      <c r="G1003" s="3"/>
      <c r="I1003" s="3"/>
      <c r="K1003" s="3"/>
      <c r="M1003" s="3"/>
      <c r="O1003" s="3"/>
      <c r="Q1003" s="3"/>
      <c r="S1003" s="3"/>
      <c r="U1003" s="3"/>
      <c r="V1003" s="3"/>
      <c r="W1003" s="3"/>
      <c r="X1003" s="3"/>
      <c r="Y1003" s="3"/>
    </row>
    <row r="1004" spans="3:25" x14ac:dyDescent="0.2">
      <c r="C1004" s="3"/>
      <c r="E1004" s="3"/>
      <c r="G1004" s="3"/>
      <c r="I1004" s="3"/>
      <c r="K1004" s="3"/>
      <c r="M1004" s="3"/>
      <c r="O1004" s="3"/>
      <c r="Q1004" s="3"/>
      <c r="S1004" s="3"/>
      <c r="U1004" s="3"/>
      <c r="V1004" s="3"/>
      <c r="W1004" s="3"/>
      <c r="X1004" s="3"/>
      <c r="Y1004" s="3"/>
    </row>
    <row r="1005" spans="3:25" x14ac:dyDescent="0.2">
      <c r="C1005" s="3"/>
      <c r="E1005" s="3"/>
      <c r="G1005" s="3"/>
      <c r="I1005" s="3"/>
      <c r="K1005" s="3"/>
      <c r="M1005" s="3"/>
      <c r="O1005" s="3"/>
      <c r="Q1005" s="3"/>
      <c r="S1005" s="3"/>
      <c r="U1005" s="3"/>
      <c r="V1005" s="3"/>
      <c r="W1005" s="3"/>
      <c r="X1005" s="3"/>
      <c r="Y1005" s="3"/>
    </row>
    <row r="1006" spans="3:25" x14ac:dyDescent="0.2">
      <c r="C1006" s="3"/>
      <c r="E1006" s="3"/>
      <c r="G1006" s="3"/>
      <c r="I1006" s="3"/>
      <c r="K1006" s="3"/>
      <c r="M1006" s="3"/>
      <c r="O1006" s="3"/>
      <c r="Q1006" s="3"/>
      <c r="S1006" s="3"/>
      <c r="U1006" s="3"/>
      <c r="V1006" s="3"/>
      <c r="W1006" s="3"/>
      <c r="X1006" s="3"/>
      <c r="Y1006" s="3"/>
    </row>
    <row r="1007" spans="3:25" x14ac:dyDescent="0.2">
      <c r="C1007" s="3"/>
      <c r="E1007" s="3"/>
      <c r="G1007" s="3"/>
      <c r="I1007" s="3"/>
      <c r="K1007" s="3"/>
      <c r="M1007" s="3"/>
      <c r="O1007" s="3"/>
      <c r="Q1007" s="3"/>
      <c r="S1007" s="3"/>
      <c r="U1007" s="3"/>
      <c r="V1007" s="3"/>
      <c r="W1007" s="3"/>
      <c r="X1007" s="3"/>
      <c r="Y1007" s="3"/>
    </row>
    <row r="1008" spans="3:25" x14ac:dyDescent="0.2">
      <c r="C1008" s="3"/>
      <c r="E1008" s="3"/>
      <c r="G1008" s="3"/>
      <c r="I1008" s="3"/>
      <c r="K1008" s="3"/>
      <c r="M1008" s="3"/>
      <c r="O1008" s="3"/>
      <c r="Q1008" s="3"/>
      <c r="S1008" s="3"/>
      <c r="U1008" s="3"/>
      <c r="V1008" s="3"/>
      <c r="W1008" s="3"/>
      <c r="X1008" s="3"/>
      <c r="Y1008" s="3"/>
    </row>
    <row r="1009" spans="3:25" x14ac:dyDescent="0.2">
      <c r="C1009" s="3"/>
      <c r="E1009" s="3"/>
      <c r="G1009" s="3"/>
      <c r="I1009" s="3"/>
      <c r="K1009" s="3"/>
      <c r="M1009" s="3"/>
      <c r="O1009" s="3"/>
      <c r="Q1009" s="3"/>
      <c r="S1009" s="3"/>
      <c r="U1009" s="3"/>
      <c r="V1009" s="3"/>
      <c r="W1009" s="3"/>
      <c r="X1009" s="3"/>
      <c r="Y1009" s="3"/>
    </row>
    <row r="1010" spans="3:25" x14ac:dyDescent="0.2">
      <c r="C1010" s="3"/>
      <c r="E1010" s="3"/>
      <c r="G1010" s="3"/>
      <c r="I1010" s="3"/>
      <c r="K1010" s="3"/>
      <c r="M1010" s="3"/>
      <c r="O1010" s="3"/>
      <c r="Q1010" s="3"/>
      <c r="S1010" s="3"/>
      <c r="U1010" s="3"/>
      <c r="V1010" s="3"/>
      <c r="W1010" s="3"/>
      <c r="X1010" s="3"/>
      <c r="Y1010" s="3"/>
    </row>
    <row r="1011" spans="3:25" x14ac:dyDescent="0.2">
      <c r="C1011" s="3"/>
      <c r="E1011" s="3"/>
      <c r="G1011" s="3"/>
      <c r="I1011" s="3"/>
      <c r="K1011" s="3"/>
      <c r="M1011" s="3"/>
      <c r="O1011" s="3"/>
      <c r="Q1011" s="3"/>
      <c r="S1011" s="3"/>
      <c r="U1011" s="3"/>
      <c r="V1011" s="3"/>
      <c r="W1011" s="3"/>
      <c r="X1011" s="3"/>
      <c r="Y1011" s="3"/>
    </row>
    <row r="1012" spans="3:25" x14ac:dyDescent="0.2">
      <c r="C1012" s="3"/>
      <c r="E1012" s="3"/>
      <c r="G1012" s="3"/>
      <c r="I1012" s="3"/>
      <c r="K1012" s="3"/>
      <c r="M1012" s="3"/>
      <c r="O1012" s="3"/>
      <c r="Q1012" s="3"/>
      <c r="S1012" s="3"/>
      <c r="U1012" s="3"/>
      <c r="V1012" s="3"/>
      <c r="W1012" s="3"/>
      <c r="X1012" s="3"/>
      <c r="Y1012" s="3"/>
    </row>
    <row r="1013" spans="3:25" x14ac:dyDescent="0.2">
      <c r="C1013" s="3"/>
      <c r="E1013" s="3"/>
      <c r="G1013" s="3"/>
      <c r="I1013" s="3"/>
      <c r="K1013" s="3"/>
      <c r="M1013" s="3"/>
      <c r="O1013" s="3"/>
      <c r="Q1013" s="3"/>
      <c r="S1013" s="3"/>
      <c r="U1013" s="3"/>
      <c r="V1013" s="3"/>
      <c r="W1013" s="3"/>
      <c r="X1013" s="3"/>
      <c r="Y1013" s="3"/>
    </row>
    <row r="1014" spans="3:25" x14ac:dyDescent="0.2">
      <c r="C1014" s="3"/>
      <c r="E1014" s="3"/>
      <c r="G1014" s="3"/>
      <c r="I1014" s="3"/>
      <c r="K1014" s="3"/>
      <c r="M1014" s="3"/>
      <c r="O1014" s="3"/>
      <c r="Q1014" s="3"/>
      <c r="S1014" s="3"/>
      <c r="U1014" s="3"/>
      <c r="V1014" s="3"/>
      <c r="W1014" s="3"/>
      <c r="X1014" s="3"/>
      <c r="Y1014" s="3"/>
    </row>
    <row r="1015" spans="3:25" x14ac:dyDescent="0.2">
      <c r="C1015" s="3"/>
      <c r="E1015" s="3"/>
      <c r="G1015" s="3"/>
      <c r="I1015" s="3"/>
      <c r="K1015" s="3"/>
      <c r="M1015" s="3"/>
      <c r="O1015" s="3"/>
      <c r="Q1015" s="3"/>
      <c r="S1015" s="3"/>
      <c r="U1015" s="3"/>
      <c r="V1015" s="3"/>
      <c r="W1015" s="3"/>
      <c r="X1015" s="3"/>
      <c r="Y1015" s="3"/>
    </row>
    <row r="1016" spans="3:25" x14ac:dyDescent="0.2">
      <c r="C1016" s="3"/>
      <c r="E1016" s="3"/>
      <c r="G1016" s="3"/>
      <c r="I1016" s="3"/>
      <c r="K1016" s="3"/>
      <c r="M1016" s="3"/>
      <c r="O1016" s="3"/>
      <c r="Q1016" s="3"/>
      <c r="S1016" s="3"/>
      <c r="U1016" s="3"/>
      <c r="V1016" s="3"/>
      <c r="W1016" s="3"/>
      <c r="X1016" s="3"/>
      <c r="Y1016" s="3"/>
    </row>
    <row r="1017" spans="3:25" x14ac:dyDescent="0.2">
      <c r="C1017" s="3"/>
      <c r="E1017" s="3"/>
      <c r="G1017" s="3"/>
      <c r="I1017" s="3"/>
      <c r="K1017" s="3"/>
      <c r="M1017" s="3"/>
      <c r="O1017" s="3"/>
      <c r="Q1017" s="3"/>
      <c r="S1017" s="3"/>
      <c r="U1017" s="3"/>
      <c r="V1017" s="3"/>
      <c r="W1017" s="3"/>
      <c r="X1017" s="3"/>
      <c r="Y1017" s="3"/>
    </row>
    <row r="1018" spans="3:25" x14ac:dyDescent="0.2">
      <c r="C1018" s="3"/>
      <c r="E1018" s="3"/>
      <c r="G1018" s="3"/>
      <c r="I1018" s="3"/>
      <c r="K1018" s="3"/>
      <c r="M1018" s="3"/>
      <c r="O1018" s="3"/>
      <c r="Q1018" s="3"/>
      <c r="S1018" s="3"/>
      <c r="U1018" s="3"/>
      <c r="V1018" s="3"/>
      <c r="W1018" s="3"/>
      <c r="X1018" s="3"/>
      <c r="Y1018" s="3"/>
    </row>
    <row r="1019" spans="3:25" x14ac:dyDescent="0.2">
      <c r="C1019" s="3"/>
      <c r="E1019" s="3"/>
      <c r="G1019" s="3"/>
      <c r="I1019" s="3"/>
      <c r="K1019" s="3"/>
      <c r="M1019" s="3"/>
      <c r="O1019" s="3"/>
      <c r="Q1019" s="3"/>
      <c r="S1019" s="3"/>
      <c r="U1019" s="3"/>
      <c r="V1019" s="3"/>
      <c r="W1019" s="3"/>
      <c r="X1019" s="3"/>
      <c r="Y1019" s="3"/>
    </row>
    <row r="1020" spans="3:25" x14ac:dyDescent="0.2">
      <c r="C1020" s="3"/>
      <c r="E1020" s="3"/>
      <c r="G1020" s="3"/>
      <c r="I1020" s="3"/>
      <c r="K1020" s="3"/>
      <c r="M1020" s="3"/>
      <c r="O1020" s="3"/>
      <c r="Q1020" s="3"/>
      <c r="S1020" s="3"/>
      <c r="U1020" s="3"/>
      <c r="V1020" s="3"/>
      <c r="W1020" s="3"/>
      <c r="X1020" s="3"/>
      <c r="Y1020" s="3"/>
    </row>
    <row r="1021" spans="3:25" x14ac:dyDescent="0.2">
      <c r="C1021" s="3"/>
      <c r="E1021" s="3"/>
      <c r="G1021" s="3"/>
      <c r="I1021" s="3"/>
      <c r="K1021" s="3"/>
      <c r="M1021" s="3"/>
      <c r="O1021" s="3"/>
      <c r="Q1021" s="3"/>
      <c r="S1021" s="3"/>
      <c r="U1021" s="3"/>
      <c r="V1021" s="3"/>
      <c r="W1021" s="3"/>
      <c r="X1021" s="3"/>
      <c r="Y1021" s="3"/>
    </row>
    <row r="1022" spans="3:25" x14ac:dyDescent="0.2">
      <c r="C1022" s="3"/>
      <c r="E1022" s="3"/>
      <c r="G1022" s="3"/>
      <c r="I1022" s="3"/>
      <c r="K1022" s="3"/>
      <c r="M1022" s="3"/>
      <c r="O1022" s="3"/>
      <c r="Q1022" s="3"/>
      <c r="S1022" s="3"/>
      <c r="U1022" s="3"/>
      <c r="V1022" s="3"/>
      <c r="W1022" s="3"/>
      <c r="X1022" s="3"/>
      <c r="Y1022" s="3"/>
    </row>
    <row r="1023" spans="3:25" x14ac:dyDescent="0.2">
      <c r="C1023" s="3"/>
      <c r="E1023" s="3"/>
      <c r="G1023" s="3"/>
      <c r="I1023" s="3"/>
      <c r="K1023" s="3"/>
      <c r="M1023" s="3"/>
      <c r="O1023" s="3"/>
      <c r="Q1023" s="3"/>
      <c r="S1023" s="3"/>
      <c r="U1023" s="3"/>
      <c r="V1023" s="3"/>
      <c r="W1023" s="3"/>
      <c r="X1023" s="3"/>
      <c r="Y1023" s="3"/>
    </row>
    <row r="1024" spans="3:25" x14ac:dyDescent="0.2">
      <c r="C1024" s="3"/>
      <c r="E1024" s="3"/>
      <c r="G1024" s="3"/>
      <c r="I1024" s="3"/>
      <c r="K1024" s="3"/>
      <c r="M1024" s="3"/>
      <c r="O1024" s="3"/>
      <c r="Q1024" s="3"/>
      <c r="S1024" s="3"/>
      <c r="U1024" s="3"/>
      <c r="V1024" s="3"/>
      <c r="W1024" s="3"/>
      <c r="X1024" s="3"/>
      <c r="Y1024" s="3"/>
    </row>
    <row r="1025" spans="3:25" x14ac:dyDescent="0.2">
      <c r="C1025" s="3"/>
      <c r="E1025" s="3"/>
      <c r="G1025" s="3"/>
      <c r="I1025" s="3"/>
      <c r="K1025" s="3"/>
      <c r="M1025" s="3"/>
      <c r="O1025" s="3"/>
      <c r="Q1025" s="3"/>
      <c r="S1025" s="3"/>
      <c r="U1025" s="3"/>
      <c r="V1025" s="3"/>
      <c r="W1025" s="3"/>
      <c r="X1025" s="3"/>
      <c r="Y1025" s="3"/>
    </row>
    <row r="1026" spans="3:25" x14ac:dyDescent="0.2">
      <c r="C1026" s="3"/>
      <c r="E1026" s="3"/>
      <c r="G1026" s="3"/>
      <c r="I1026" s="3"/>
      <c r="K1026" s="3"/>
      <c r="M1026" s="3"/>
      <c r="O1026" s="3"/>
      <c r="Q1026" s="3"/>
      <c r="S1026" s="3"/>
      <c r="U1026" s="3"/>
      <c r="V1026" s="3"/>
      <c r="W1026" s="3"/>
      <c r="X1026" s="3"/>
      <c r="Y1026" s="3"/>
    </row>
    <row r="1027" spans="3:25" x14ac:dyDescent="0.2">
      <c r="C1027" s="3"/>
      <c r="E1027" s="3"/>
      <c r="G1027" s="3"/>
      <c r="I1027" s="3"/>
      <c r="K1027" s="3"/>
      <c r="M1027" s="3"/>
      <c r="O1027" s="3"/>
      <c r="Q1027" s="3"/>
      <c r="S1027" s="3"/>
      <c r="U1027" s="3"/>
      <c r="V1027" s="3"/>
      <c r="W1027" s="3"/>
      <c r="X1027" s="3"/>
      <c r="Y1027" s="3"/>
    </row>
    <row r="1028" spans="3:25" x14ac:dyDescent="0.2">
      <c r="C1028" s="3"/>
      <c r="E1028" s="3"/>
      <c r="G1028" s="3"/>
      <c r="I1028" s="3"/>
      <c r="K1028" s="3"/>
      <c r="M1028" s="3"/>
      <c r="O1028" s="3"/>
      <c r="Q1028" s="3"/>
      <c r="S1028" s="3"/>
      <c r="U1028" s="3"/>
      <c r="V1028" s="3"/>
      <c r="W1028" s="3"/>
      <c r="X1028" s="3"/>
      <c r="Y1028" s="3"/>
    </row>
    <row r="1029" spans="3:25" x14ac:dyDescent="0.2">
      <c r="C1029" s="3"/>
      <c r="E1029" s="3"/>
      <c r="G1029" s="3"/>
      <c r="I1029" s="3"/>
      <c r="K1029" s="3"/>
      <c r="M1029" s="3"/>
      <c r="O1029" s="3"/>
      <c r="Q1029" s="3"/>
      <c r="S1029" s="3"/>
      <c r="U1029" s="3"/>
      <c r="V1029" s="3"/>
      <c r="W1029" s="3"/>
      <c r="X1029" s="3"/>
      <c r="Y1029" s="3"/>
    </row>
    <row r="1030" spans="3:25" x14ac:dyDescent="0.2">
      <c r="C1030" s="3"/>
      <c r="E1030" s="3"/>
      <c r="G1030" s="3"/>
      <c r="I1030" s="3"/>
      <c r="K1030" s="3"/>
      <c r="M1030" s="3"/>
      <c r="O1030" s="3"/>
      <c r="Q1030" s="3"/>
      <c r="S1030" s="3"/>
      <c r="U1030" s="3"/>
      <c r="V1030" s="3"/>
      <c r="W1030" s="3"/>
      <c r="X1030" s="3"/>
      <c r="Y1030" s="3"/>
    </row>
    <row r="1031" spans="3:25" x14ac:dyDescent="0.2">
      <c r="C1031" s="3"/>
      <c r="E1031" s="3"/>
      <c r="G1031" s="3"/>
      <c r="I1031" s="3"/>
      <c r="K1031" s="3"/>
      <c r="M1031" s="3"/>
      <c r="O1031" s="3"/>
      <c r="Q1031" s="3"/>
      <c r="S1031" s="3"/>
      <c r="U1031" s="3"/>
      <c r="V1031" s="3"/>
      <c r="W1031" s="3"/>
      <c r="X1031" s="3"/>
      <c r="Y1031" s="3"/>
    </row>
    <row r="1032" spans="3:25" x14ac:dyDescent="0.2">
      <c r="C1032" s="3"/>
      <c r="E1032" s="3"/>
      <c r="G1032" s="3"/>
      <c r="I1032" s="3"/>
      <c r="K1032" s="3"/>
      <c r="M1032" s="3"/>
      <c r="O1032" s="3"/>
      <c r="Q1032" s="3"/>
      <c r="S1032" s="3"/>
      <c r="U1032" s="3"/>
      <c r="V1032" s="3"/>
      <c r="W1032" s="3"/>
      <c r="X1032" s="3"/>
      <c r="Y1032" s="3"/>
    </row>
    <row r="1033" spans="3:25" x14ac:dyDescent="0.2">
      <c r="C1033" s="3"/>
      <c r="E1033" s="3"/>
      <c r="G1033" s="3"/>
      <c r="I1033" s="3"/>
      <c r="K1033" s="3"/>
      <c r="M1033" s="3"/>
      <c r="O1033" s="3"/>
      <c r="Q1033" s="3"/>
      <c r="S1033" s="3"/>
      <c r="U1033" s="3"/>
      <c r="V1033" s="3"/>
      <c r="W1033" s="3"/>
      <c r="X1033" s="3"/>
      <c r="Y1033" s="3"/>
    </row>
    <row r="1034" spans="3:25" x14ac:dyDescent="0.2">
      <c r="C1034" s="3"/>
      <c r="E1034" s="3"/>
      <c r="G1034" s="3"/>
      <c r="I1034" s="3"/>
      <c r="K1034" s="3"/>
      <c r="M1034" s="3"/>
      <c r="O1034" s="3"/>
      <c r="Q1034" s="3"/>
      <c r="S1034" s="3"/>
      <c r="U1034" s="3"/>
      <c r="V1034" s="3"/>
      <c r="W1034" s="3"/>
      <c r="X1034" s="3"/>
      <c r="Y1034" s="3"/>
    </row>
    <row r="1035" spans="3:25" x14ac:dyDescent="0.2">
      <c r="C1035" s="3"/>
      <c r="E1035" s="3"/>
      <c r="G1035" s="3"/>
      <c r="I1035" s="3"/>
      <c r="K1035" s="3"/>
      <c r="M1035" s="3"/>
      <c r="O1035" s="3"/>
      <c r="Q1035" s="3"/>
      <c r="S1035" s="3"/>
      <c r="U1035" s="3"/>
      <c r="V1035" s="3"/>
      <c r="W1035" s="3"/>
      <c r="X1035" s="3"/>
      <c r="Y1035" s="3"/>
    </row>
    <row r="1036" spans="3:25" x14ac:dyDescent="0.2">
      <c r="C1036" s="3"/>
      <c r="E1036" s="3"/>
      <c r="G1036" s="3"/>
      <c r="I1036" s="3"/>
      <c r="K1036" s="3"/>
      <c r="M1036" s="3"/>
      <c r="O1036" s="3"/>
      <c r="Q1036" s="3"/>
      <c r="S1036" s="3"/>
      <c r="U1036" s="3"/>
      <c r="V1036" s="3"/>
      <c r="W1036" s="3"/>
      <c r="X1036" s="3"/>
      <c r="Y1036" s="3"/>
    </row>
    <row r="1037" spans="3:25" x14ac:dyDescent="0.2">
      <c r="C1037" s="3"/>
      <c r="E1037" s="3"/>
      <c r="G1037" s="3"/>
      <c r="I1037" s="3"/>
      <c r="K1037" s="3"/>
      <c r="M1037" s="3"/>
      <c r="O1037" s="3"/>
      <c r="Q1037" s="3"/>
      <c r="S1037" s="3"/>
      <c r="U1037" s="3"/>
      <c r="V1037" s="3"/>
      <c r="W1037" s="3"/>
      <c r="X1037" s="3"/>
      <c r="Y1037" s="3"/>
    </row>
    <row r="1038" spans="3:25" x14ac:dyDescent="0.2">
      <c r="C1038" s="3"/>
      <c r="E1038" s="3"/>
      <c r="G1038" s="3"/>
      <c r="I1038" s="3"/>
      <c r="K1038" s="3"/>
      <c r="M1038" s="3"/>
      <c r="O1038" s="3"/>
      <c r="Q1038" s="3"/>
      <c r="S1038" s="3"/>
      <c r="U1038" s="3"/>
      <c r="V1038" s="3"/>
      <c r="W1038" s="3"/>
      <c r="X1038" s="3"/>
      <c r="Y1038" s="3"/>
    </row>
    <row r="1039" spans="3:25" x14ac:dyDescent="0.2">
      <c r="C1039" s="3"/>
      <c r="E1039" s="3"/>
      <c r="G1039" s="3"/>
      <c r="I1039" s="3"/>
      <c r="K1039" s="3"/>
      <c r="M1039" s="3"/>
      <c r="O1039" s="3"/>
      <c r="Q1039" s="3"/>
      <c r="S1039" s="3"/>
      <c r="U1039" s="3"/>
      <c r="V1039" s="3"/>
      <c r="W1039" s="3"/>
      <c r="X1039" s="3"/>
      <c r="Y1039" s="3"/>
    </row>
    <row r="1040" spans="3:25" x14ac:dyDescent="0.2">
      <c r="C1040" s="3"/>
      <c r="E1040" s="3"/>
      <c r="G1040" s="3"/>
      <c r="I1040" s="3"/>
      <c r="K1040" s="3"/>
      <c r="M1040" s="3"/>
      <c r="O1040" s="3"/>
      <c r="Q1040" s="3"/>
      <c r="S1040" s="3"/>
      <c r="U1040" s="3"/>
      <c r="V1040" s="3"/>
      <c r="W1040" s="3"/>
      <c r="X1040" s="3"/>
      <c r="Y1040" s="3"/>
    </row>
    <row r="1041" spans="3:25" x14ac:dyDescent="0.2">
      <c r="C1041" s="3"/>
      <c r="E1041" s="3"/>
      <c r="G1041" s="3"/>
      <c r="I1041" s="3"/>
      <c r="K1041" s="3"/>
      <c r="M1041" s="3"/>
      <c r="O1041" s="3"/>
      <c r="Q1041" s="3"/>
      <c r="S1041" s="3"/>
      <c r="U1041" s="3"/>
      <c r="V1041" s="3"/>
      <c r="W1041" s="3"/>
      <c r="X1041" s="3"/>
      <c r="Y1041" s="3"/>
    </row>
    <row r="1042" spans="3:25" x14ac:dyDescent="0.2">
      <c r="C1042" s="3"/>
      <c r="E1042" s="3"/>
      <c r="G1042" s="3"/>
      <c r="I1042" s="3"/>
      <c r="K1042" s="3"/>
      <c r="M1042" s="3"/>
      <c r="O1042" s="3"/>
      <c r="Q1042" s="3"/>
      <c r="S1042" s="3"/>
      <c r="U1042" s="3"/>
      <c r="V1042" s="3"/>
      <c r="W1042" s="3"/>
      <c r="X1042" s="3"/>
      <c r="Y1042" s="3"/>
    </row>
    <row r="1043" spans="3:25" x14ac:dyDescent="0.2">
      <c r="C1043" s="3"/>
      <c r="E1043" s="3"/>
      <c r="G1043" s="3"/>
      <c r="I1043" s="3"/>
      <c r="K1043" s="3"/>
      <c r="M1043" s="3"/>
      <c r="O1043" s="3"/>
      <c r="Q1043" s="3"/>
      <c r="S1043" s="3"/>
      <c r="U1043" s="3"/>
      <c r="V1043" s="3"/>
      <c r="W1043" s="3"/>
      <c r="X1043" s="3"/>
      <c r="Y1043" s="3"/>
    </row>
    <row r="1044" spans="3:25" x14ac:dyDescent="0.2">
      <c r="C1044" s="3"/>
      <c r="E1044" s="3"/>
      <c r="G1044" s="3"/>
      <c r="I1044" s="3"/>
      <c r="K1044" s="3"/>
      <c r="M1044" s="3"/>
      <c r="O1044" s="3"/>
      <c r="Q1044" s="3"/>
      <c r="S1044" s="3"/>
      <c r="U1044" s="3"/>
      <c r="V1044" s="3"/>
      <c r="W1044" s="3"/>
      <c r="X1044" s="3"/>
      <c r="Y1044" s="3"/>
    </row>
    <row r="1045" spans="3:25" x14ac:dyDescent="0.2">
      <c r="C1045" s="3"/>
      <c r="E1045" s="3"/>
      <c r="G1045" s="3"/>
      <c r="I1045" s="3"/>
      <c r="K1045" s="3"/>
      <c r="M1045" s="3"/>
      <c r="O1045" s="3"/>
      <c r="Q1045" s="3"/>
      <c r="S1045" s="3"/>
      <c r="U1045" s="3"/>
      <c r="V1045" s="3"/>
      <c r="W1045" s="3"/>
      <c r="X1045" s="3"/>
      <c r="Y1045" s="3"/>
    </row>
    <row r="1046" spans="3:25" x14ac:dyDescent="0.2">
      <c r="C1046" s="3"/>
      <c r="E1046" s="3"/>
      <c r="G1046" s="3"/>
      <c r="I1046" s="3"/>
      <c r="K1046" s="3"/>
      <c r="M1046" s="3"/>
      <c r="O1046" s="3"/>
      <c r="Q1046" s="3"/>
      <c r="S1046" s="3"/>
      <c r="U1046" s="3"/>
      <c r="V1046" s="3"/>
      <c r="W1046" s="3"/>
      <c r="X1046" s="3"/>
      <c r="Y1046" s="3"/>
    </row>
    <row r="1047" spans="3:25" x14ac:dyDescent="0.2">
      <c r="C1047" s="3"/>
      <c r="E1047" s="3"/>
      <c r="G1047" s="3"/>
      <c r="I1047" s="3"/>
      <c r="K1047" s="3"/>
      <c r="M1047" s="3"/>
      <c r="O1047" s="3"/>
      <c r="Q1047" s="3"/>
      <c r="S1047" s="3"/>
      <c r="U1047" s="3"/>
      <c r="V1047" s="3"/>
      <c r="W1047" s="3"/>
      <c r="X1047" s="3"/>
      <c r="Y1047" s="3"/>
    </row>
    <row r="1048" spans="3:25" x14ac:dyDescent="0.2">
      <c r="C1048" s="3"/>
      <c r="E1048" s="3"/>
      <c r="G1048" s="3"/>
      <c r="I1048" s="3"/>
      <c r="K1048" s="3"/>
      <c r="M1048" s="3"/>
      <c r="O1048" s="3"/>
      <c r="Q1048" s="3"/>
      <c r="S1048" s="3"/>
      <c r="U1048" s="3"/>
      <c r="V1048" s="3"/>
      <c r="W1048" s="3"/>
      <c r="X1048" s="3"/>
      <c r="Y1048" s="3"/>
    </row>
    <row r="1049" spans="3:25" x14ac:dyDescent="0.2">
      <c r="C1049" s="3"/>
      <c r="E1049" s="3"/>
      <c r="G1049" s="3"/>
      <c r="I1049" s="3"/>
      <c r="K1049" s="3"/>
      <c r="M1049" s="3"/>
      <c r="O1049" s="3"/>
      <c r="Q1049" s="3"/>
      <c r="S1049" s="3"/>
      <c r="U1049" s="3"/>
      <c r="V1049" s="3"/>
      <c r="W1049" s="3"/>
      <c r="X1049" s="3"/>
      <c r="Y1049" s="3"/>
    </row>
    <row r="1050" spans="3:25" x14ac:dyDescent="0.2">
      <c r="C1050" s="3"/>
      <c r="E1050" s="3"/>
      <c r="G1050" s="3"/>
      <c r="I1050" s="3"/>
      <c r="K1050" s="3"/>
      <c r="M1050" s="3"/>
      <c r="O1050" s="3"/>
      <c r="Q1050" s="3"/>
      <c r="S1050" s="3"/>
      <c r="U1050" s="3"/>
      <c r="V1050" s="3"/>
      <c r="W1050" s="3"/>
      <c r="X1050" s="3"/>
      <c r="Y1050" s="3"/>
    </row>
    <row r="1051" spans="3:25" x14ac:dyDescent="0.2">
      <c r="C1051" s="3"/>
      <c r="E1051" s="3"/>
      <c r="G1051" s="3"/>
      <c r="I1051" s="3"/>
      <c r="K1051" s="3"/>
      <c r="M1051" s="3"/>
      <c r="O1051" s="3"/>
      <c r="Q1051" s="3"/>
      <c r="S1051" s="3"/>
      <c r="U1051" s="3"/>
      <c r="V1051" s="3"/>
      <c r="W1051" s="3"/>
      <c r="X1051" s="3"/>
      <c r="Y1051" s="3"/>
    </row>
    <row r="1052" spans="3:25" x14ac:dyDescent="0.2">
      <c r="C1052" s="3"/>
      <c r="E1052" s="3"/>
      <c r="G1052" s="3"/>
      <c r="I1052" s="3"/>
      <c r="K1052" s="3"/>
      <c r="M1052" s="3"/>
      <c r="O1052" s="3"/>
      <c r="Q1052" s="3"/>
      <c r="S1052" s="3"/>
      <c r="U1052" s="3"/>
      <c r="V1052" s="3"/>
      <c r="W1052" s="3"/>
      <c r="X1052" s="3"/>
      <c r="Y1052" s="3"/>
    </row>
    <row r="1053" spans="3:25" x14ac:dyDescent="0.2">
      <c r="C1053" s="3"/>
      <c r="E1053" s="3"/>
      <c r="G1053" s="3"/>
      <c r="I1053" s="3"/>
      <c r="K1053" s="3"/>
      <c r="M1053" s="3"/>
      <c r="O1053" s="3"/>
      <c r="Q1053" s="3"/>
      <c r="S1053" s="3"/>
      <c r="U1053" s="3"/>
      <c r="V1053" s="3"/>
      <c r="W1053" s="3"/>
      <c r="X1053" s="3"/>
      <c r="Y1053" s="3"/>
    </row>
    <row r="1054" spans="3:25" x14ac:dyDescent="0.2">
      <c r="C1054" s="3"/>
      <c r="E1054" s="3"/>
      <c r="G1054" s="3"/>
      <c r="I1054" s="3"/>
      <c r="K1054" s="3"/>
      <c r="M1054" s="3"/>
      <c r="O1054" s="3"/>
      <c r="Q1054" s="3"/>
      <c r="S1054" s="3"/>
      <c r="U1054" s="3"/>
      <c r="V1054" s="3"/>
      <c r="W1054" s="3"/>
      <c r="X1054" s="3"/>
      <c r="Y1054" s="3"/>
    </row>
    <row r="1055" spans="3:25" x14ac:dyDescent="0.2">
      <c r="C1055" s="3"/>
      <c r="E1055" s="3"/>
      <c r="G1055" s="3"/>
      <c r="I1055" s="3"/>
      <c r="K1055" s="3"/>
      <c r="M1055" s="3"/>
      <c r="O1055" s="3"/>
      <c r="Q1055" s="3"/>
      <c r="S1055" s="3"/>
      <c r="U1055" s="3"/>
      <c r="V1055" s="3"/>
      <c r="W1055" s="3"/>
      <c r="X1055" s="3"/>
      <c r="Y1055" s="3"/>
    </row>
    <row r="1056" spans="3:25" x14ac:dyDescent="0.2">
      <c r="C1056" s="3"/>
      <c r="E1056" s="3"/>
      <c r="G1056" s="3"/>
      <c r="I1056" s="3"/>
      <c r="K1056" s="3"/>
      <c r="M1056" s="3"/>
      <c r="O1056" s="3"/>
      <c r="Q1056" s="3"/>
      <c r="S1056" s="3"/>
      <c r="U1056" s="3"/>
      <c r="V1056" s="3"/>
      <c r="W1056" s="3"/>
      <c r="X1056" s="3"/>
      <c r="Y1056" s="3"/>
    </row>
    <row r="1057" spans="3:25" x14ac:dyDescent="0.2">
      <c r="C1057" s="3"/>
      <c r="E1057" s="3"/>
      <c r="G1057" s="3"/>
      <c r="I1057" s="3"/>
      <c r="K1057" s="3"/>
      <c r="M1057" s="3"/>
      <c r="O1057" s="3"/>
      <c r="Q1057" s="3"/>
      <c r="S1057" s="3"/>
      <c r="U1057" s="3"/>
      <c r="V1057" s="3"/>
      <c r="W1057" s="3"/>
      <c r="X1057" s="3"/>
      <c r="Y1057" s="3"/>
    </row>
    <row r="1058" spans="3:25" x14ac:dyDescent="0.2">
      <c r="C1058" s="3"/>
      <c r="E1058" s="3"/>
      <c r="G1058" s="3"/>
      <c r="I1058" s="3"/>
      <c r="K1058" s="3"/>
      <c r="M1058" s="3"/>
      <c r="O1058" s="3"/>
      <c r="Q1058" s="3"/>
      <c r="S1058" s="3"/>
      <c r="U1058" s="3"/>
      <c r="V1058" s="3"/>
      <c r="W1058" s="3"/>
      <c r="X1058" s="3"/>
      <c r="Y1058" s="3"/>
    </row>
    <row r="1059" spans="3:25" x14ac:dyDescent="0.2">
      <c r="C1059" s="3"/>
      <c r="E1059" s="3"/>
      <c r="G1059" s="3"/>
      <c r="I1059" s="3"/>
      <c r="K1059" s="3"/>
      <c r="M1059" s="3"/>
      <c r="O1059" s="3"/>
      <c r="Q1059" s="3"/>
      <c r="S1059" s="3"/>
      <c r="U1059" s="3"/>
      <c r="V1059" s="3"/>
      <c r="W1059" s="3"/>
      <c r="X1059" s="3"/>
      <c r="Y1059" s="3"/>
    </row>
    <row r="1060" spans="3:25" x14ac:dyDescent="0.2">
      <c r="C1060" s="3"/>
      <c r="E1060" s="3"/>
      <c r="G1060" s="3"/>
      <c r="I1060" s="3"/>
      <c r="K1060" s="3"/>
      <c r="M1060" s="3"/>
      <c r="O1060" s="3"/>
      <c r="Q1060" s="3"/>
      <c r="S1060" s="3"/>
      <c r="U1060" s="3"/>
      <c r="V1060" s="3"/>
      <c r="W1060" s="3"/>
      <c r="X1060" s="3"/>
      <c r="Y1060" s="3"/>
    </row>
    <row r="1061" spans="3:25" x14ac:dyDescent="0.2">
      <c r="C1061" s="3"/>
      <c r="E1061" s="3"/>
      <c r="G1061" s="3"/>
      <c r="I1061" s="3"/>
      <c r="K1061" s="3"/>
      <c r="M1061" s="3"/>
      <c r="O1061" s="3"/>
      <c r="Q1061" s="3"/>
      <c r="S1061" s="3"/>
      <c r="U1061" s="3"/>
      <c r="V1061" s="3"/>
      <c r="W1061" s="3"/>
      <c r="X1061" s="3"/>
      <c r="Y1061" s="3"/>
    </row>
    <row r="1062" spans="3:25" x14ac:dyDescent="0.2">
      <c r="C1062" s="3"/>
      <c r="E1062" s="3"/>
      <c r="G1062" s="3"/>
      <c r="I1062" s="3"/>
      <c r="K1062" s="3"/>
      <c r="M1062" s="3"/>
      <c r="O1062" s="3"/>
      <c r="Q1062" s="3"/>
      <c r="S1062" s="3"/>
      <c r="U1062" s="3"/>
      <c r="V1062" s="3"/>
      <c r="W1062" s="3"/>
      <c r="X1062" s="3"/>
      <c r="Y1062" s="3"/>
    </row>
    <row r="1063" spans="3:25" x14ac:dyDescent="0.2">
      <c r="C1063" s="3"/>
      <c r="E1063" s="3"/>
      <c r="G1063" s="3"/>
      <c r="I1063" s="3"/>
      <c r="K1063" s="3"/>
      <c r="M1063" s="3"/>
      <c r="O1063" s="3"/>
      <c r="Q1063" s="3"/>
      <c r="S1063" s="3"/>
      <c r="U1063" s="3"/>
      <c r="V1063" s="3"/>
      <c r="W1063" s="3"/>
      <c r="X1063" s="3"/>
      <c r="Y1063" s="3"/>
    </row>
    <row r="1064" spans="3:25" x14ac:dyDescent="0.2">
      <c r="C1064" s="3"/>
      <c r="E1064" s="3"/>
      <c r="G1064" s="3"/>
      <c r="I1064" s="3"/>
      <c r="K1064" s="3"/>
      <c r="M1064" s="3"/>
      <c r="O1064" s="3"/>
      <c r="Q1064" s="3"/>
      <c r="S1064" s="3"/>
      <c r="U1064" s="3"/>
      <c r="V1064" s="3"/>
      <c r="W1064" s="3"/>
      <c r="X1064" s="3"/>
      <c r="Y1064" s="3"/>
    </row>
    <row r="1065" spans="3:25" x14ac:dyDescent="0.2">
      <c r="C1065" s="3"/>
      <c r="E1065" s="3"/>
      <c r="G1065" s="3"/>
      <c r="I1065" s="3"/>
      <c r="K1065" s="3"/>
      <c r="M1065" s="3"/>
      <c r="O1065" s="3"/>
      <c r="Q1065" s="3"/>
      <c r="S1065" s="3"/>
      <c r="U1065" s="3"/>
      <c r="V1065" s="3"/>
      <c r="W1065" s="3"/>
      <c r="X1065" s="3"/>
      <c r="Y1065" s="3"/>
    </row>
    <row r="1066" spans="3:25" x14ac:dyDescent="0.2">
      <c r="C1066" s="3"/>
      <c r="E1066" s="3"/>
      <c r="G1066" s="3"/>
      <c r="I1066" s="3"/>
      <c r="K1066" s="3"/>
      <c r="M1066" s="3"/>
      <c r="O1066" s="3"/>
      <c r="Q1066" s="3"/>
      <c r="S1066" s="3"/>
      <c r="U1066" s="3"/>
      <c r="V1066" s="3"/>
      <c r="W1066" s="3"/>
      <c r="X1066" s="3"/>
      <c r="Y1066" s="3"/>
    </row>
    <row r="1067" spans="3:25" x14ac:dyDescent="0.2">
      <c r="C1067" s="3"/>
      <c r="E1067" s="3"/>
      <c r="G1067" s="3"/>
      <c r="I1067" s="3"/>
      <c r="K1067" s="3"/>
      <c r="M1067" s="3"/>
      <c r="O1067" s="3"/>
      <c r="Q1067" s="3"/>
      <c r="S1067" s="3"/>
      <c r="U1067" s="3"/>
      <c r="V1067" s="3"/>
      <c r="W1067" s="3"/>
      <c r="X1067" s="3"/>
      <c r="Y1067" s="3"/>
    </row>
    <row r="1068" spans="3:25" x14ac:dyDescent="0.2">
      <c r="C1068" s="3"/>
      <c r="E1068" s="3"/>
      <c r="G1068" s="3"/>
      <c r="I1068" s="3"/>
      <c r="K1068" s="3"/>
      <c r="M1068" s="3"/>
      <c r="O1068" s="3"/>
      <c r="Q1068" s="3"/>
      <c r="S1068" s="3"/>
      <c r="U1068" s="3"/>
      <c r="V1068" s="3"/>
      <c r="W1068" s="3"/>
      <c r="X1068" s="3"/>
      <c r="Y1068" s="3"/>
    </row>
    <row r="1069" spans="3:25" x14ac:dyDescent="0.2">
      <c r="C1069" s="3"/>
      <c r="E1069" s="3"/>
      <c r="G1069" s="3"/>
      <c r="I1069" s="3"/>
      <c r="K1069" s="3"/>
      <c r="M1069" s="3"/>
      <c r="O1069" s="3"/>
      <c r="Q1069" s="3"/>
      <c r="S1069" s="3"/>
      <c r="U1069" s="3"/>
      <c r="V1069" s="3"/>
      <c r="W1069" s="3"/>
      <c r="X1069" s="3"/>
      <c r="Y1069" s="3"/>
    </row>
    <row r="1070" spans="3:25" x14ac:dyDescent="0.2">
      <c r="C1070" s="3"/>
      <c r="E1070" s="3"/>
      <c r="G1070" s="3"/>
      <c r="I1070" s="3"/>
      <c r="K1070" s="3"/>
      <c r="M1070" s="3"/>
      <c r="O1070" s="3"/>
      <c r="Q1070" s="3"/>
      <c r="S1070" s="3"/>
      <c r="U1070" s="3"/>
      <c r="V1070" s="3"/>
      <c r="W1070" s="3"/>
      <c r="X1070" s="3"/>
      <c r="Y1070" s="3"/>
    </row>
    <row r="1071" spans="3:25" x14ac:dyDescent="0.2">
      <c r="C1071" s="3"/>
      <c r="E1071" s="3"/>
      <c r="G1071" s="3"/>
      <c r="I1071" s="3"/>
      <c r="K1071" s="3"/>
      <c r="M1071" s="3"/>
      <c r="O1071" s="3"/>
      <c r="Q1071" s="3"/>
      <c r="S1071" s="3"/>
      <c r="U1071" s="3"/>
      <c r="V1071" s="3"/>
      <c r="W1071" s="3"/>
      <c r="X1071" s="3"/>
      <c r="Y1071" s="3"/>
    </row>
    <row r="1072" spans="3:25" x14ac:dyDescent="0.2">
      <c r="C1072" s="3"/>
      <c r="E1072" s="3"/>
      <c r="G1072" s="3"/>
      <c r="I1072" s="3"/>
      <c r="K1072" s="3"/>
      <c r="M1072" s="3"/>
      <c r="O1072" s="3"/>
      <c r="Q1072" s="3"/>
      <c r="S1072" s="3"/>
      <c r="U1072" s="3"/>
      <c r="V1072" s="3"/>
      <c r="W1072" s="3"/>
      <c r="X1072" s="3"/>
      <c r="Y1072" s="3"/>
    </row>
    <row r="1073" spans="3:25" x14ac:dyDescent="0.2">
      <c r="C1073" s="3"/>
      <c r="E1073" s="3"/>
      <c r="G1073" s="3"/>
      <c r="I1073" s="3"/>
      <c r="K1073" s="3"/>
      <c r="M1073" s="3"/>
      <c r="O1073" s="3"/>
      <c r="Q1073" s="3"/>
      <c r="S1073" s="3"/>
      <c r="U1073" s="3"/>
      <c r="V1073" s="3"/>
      <c r="W1073" s="3"/>
      <c r="X1073" s="3"/>
      <c r="Y1073" s="3"/>
    </row>
    <row r="1074" spans="3:25" x14ac:dyDescent="0.2">
      <c r="C1074" s="3"/>
      <c r="E1074" s="3"/>
      <c r="G1074" s="3"/>
      <c r="I1074" s="3"/>
      <c r="K1074" s="3"/>
      <c r="M1074" s="3"/>
      <c r="O1074" s="3"/>
      <c r="Q1074" s="3"/>
      <c r="S1074" s="3"/>
      <c r="U1074" s="3"/>
      <c r="V1074" s="3"/>
      <c r="W1074" s="3"/>
      <c r="X1074" s="3"/>
      <c r="Y1074" s="3"/>
    </row>
    <row r="1075" spans="3:25" x14ac:dyDescent="0.2">
      <c r="C1075" s="3"/>
      <c r="E1075" s="3"/>
      <c r="G1075" s="3"/>
      <c r="I1075" s="3"/>
      <c r="K1075" s="3"/>
      <c r="M1075" s="3"/>
      <c r="O1075" s="3"/>
      <c r="Q1075" s="3"/>
      <c r="S1075" s="3"/>
      <c r="U1075" s="3"/>
      <c r="V1075" s="3"/>
      <c r="W1075" s="3"/>
      <c r="X1075" s="3"/>
      <c r="Y1075" s="3"/>
    </row>
    <row r="1076" spans="3:25" x14ac:dyDescent="0.2">
      <c r="C1076" s="3"/>
      <c r="E1076" s="3"/>
      <c r="G1076" s="3"/>
      <c r="I1076" s="3"/>
      <c r="K1076" s="3"/>
      <c r="M1076" s="3"/>
      <c r="O1076" s="3"/>
      <c r="Q1076" s="3"/>
      <c r="S1076" s="3"/>
      <c r="U1076" s="3"/>
      <c r="V1076" s="3"/>
      <c r="W1076" s="3"/>
      <c r="X1076" s="3"/>
      <c r="Y1076" s="3"/>
    </row>
    <row r="1077" spans="3:25" x14ac:dyDescent="0.2">
      <c r="C1077" s="3"/>
      <c r="E1077" s="3"/>
      <c r="G1077" s="3"/>
      <c r="I1077" s="3"/>
      <c r="K1077" s="3"/>
      <c r="M1077" s="3"/>
      <c r="O1077" s="3"/>
      <c r="Q1077" s="3"/>
      <c r="S1077" s="3"/>
      <c r="U1077" s="3"/>
      <c r="V1077" s="3"/>
      <c r="W1077" s="3"/>
      <c r="X1077" s="3"/>
      <c r="Y1077" s="3"/>
    </row>
    <row r="1078" spans="3:25" x14ac:dyDescent="0.2">
      <c r="C1078" s="3"/>
      <c r="E1078" s="3"/>
      <c r="G1078" s="3"/>
      <c r="I1078" s="3"/>
      <c r="K1078" s="3"/>
      <c r="M1078" s="3"/>
      <c r="O1078" s="3"/>
      <c r="Q1078" s="3"/>
      <c r="S1078" s="3"/>
      <c r="U1078" s="3"/>
      <c r="V1078" s="3"/>
      <c r="W1078" s="3"/>
      <c r="X1078" s="3"/>
      <c r="Y1078" s="3"/>
    </row>
    <row r="1079" spans="3:25" x14ac:dyDescent="0.2">
      <c r="C1079" s="3"/>
      <c r="E1079" s="3"/>
      <c r="G1079" s="3"/>
      <c r="I1079" s="3"/>
      <c r="K1079" s="3"/>
      <c r="M1079" s="3"/>
      <c r="O1079" s="3"/>
      <c r="Q1079" s="3"/>
      <c r="S1079" s="3"/>
      <c r="U1079" s="3"/>
      <c r="V1079" s="3"/>
      <c r="W1079" s="3"/>
      <c r="X1079" s="3"/>
      <c r="Y1079" s="3"/>
    </row>
    <row r="1080" spans="3:25" x14ac:dyDescent="0.2">
      <c r="C1080" s="3"/>
      <c r="E1080" s="3"/>
      <c r="G1080" s="3"/>
      <c r="I1080" s="3"/>
      <c r="K1080" s="3"/>
      <c r="M1080" s="3"/>
      <c r="O1080" s="3"/>
      <c r="Q1080" s="3"/>
      <c r="S1080" s="3"/>
      <c r="U1080" s="3"/>
      <c r="V1080" s="3"/>
      <c r="W1080" s="3"/>
      <c r="X1080" s="3"/>
      <c r="Y1080" s="3"/>
    </row>
    <row r="1081" spans="3:25" x14ac:dyDescent="0.2">
      <c r="C1081" s="3"/>
      <c r="E1081" s="3"/>
      <c r="G1081" s="3"/>
      <c r="I1081" s="3"/>
      <c r="K1081" s="3"/>
      <c r="M1081" s="3"/>
      <c r="O1081" s="3"/>
      <c r="Q1081" s="3"/>
      <c r="S1081" s="3"/>
      <c r="U1081" s="3"/>
      <c r="V1081" s="3"/>
      <c r="W1081" s="3"/>
      <c r="X1081" s="3"/>
      <c r="Y1081" s="3"/>
    </row>
    <row r="1082" spans="3:25" x14ac:dyDescent="0.2">
      <c r="C1082" s="3"/>
      <c r="E1082" s="3"/>
      <c r="G1082" s="3"/>
      <c r="I1082" s="3"/>
      <c r="K1082" s="3"/>
      <c r="M1082" s="3"/>
      <c r="O1082" s="3"/>
      <c r="Q1082" s="3"/>
      <c r="S1082" s="3"/>
      <c r="U1082" s="3"/>
      <c r="V1082" s="3"/>
      <c r="W1082" s="3"/>
      <c r="X1082" s="3"/>
      <c r="Y1082" s="3"/>
    </row>
    <row r="1083" spans="3:25" x14ac:dyDescent="0.2">
      <c r="C1083" s="3"/>
      <c r="E1083" s="3"/>
      <c r="G1083" s="3"/>
      <c r="I1083" s="3"/>
      <c r="K1083" s="3"/>
      <c r="M1083" s="3"/>
      <c r="O1083" s="3"/>
      <c r="Q1083" s="3"/>
      <c r="S1083" s="3"/>
      <c r="U1083" s="3"/>
      <c r="V1083" s="3"/>
      <c r="W1083" s="3"/>
      <c r="X1083" s="3"/>
      <c r="Y1083" s="3"/>
    </row>
    <row r="1084" spans="3:25" x14ac:dyDescent="0.2">
      <c r="C1084" s="3"/>
      <c r="E1084" s="3"/>
      <c r="G1084" s="3"/>
      <c r="I1084" s="3"/>
      <c r="K1084" s="3"/>
      <c r="M1084" s="3"/>
      <c r="O1084" s="3"/>
      <c r="Q1084" s="3"/>
      <c r="S1084" s="3"/>
      <c r="U1084" s="3"/>
      <c r="V1084" s="3"/>
      <c r="W1084" s="3"/>
      <c r="X1084" s="3"/>
      <c r="Y1084" s="3"/>
    </row>
    <row r="1085" spans="3:25" x14ac:dyDescent="0.2">
      <c r="C1085" s="3"/>
      <c r="E1085" s="3"/>
      <c r="G1085" s="3"/>
      <c r="I1085" s="3"/>
      <c r="K1085" s="3"/>
      <c r="M1085" s="3"/>
      <c r="O1085" s="3"/>
      <c r="Q1085" s="3"/>
      <c r="S1085" s="3"/>
      <c r="U1085" s="3"/>
      <c r="V1085" s="3"/>
      <c r="W1085" s="3"/>
      <c r="X1085" s="3"/>
      <c r="Y1085" s="3"/>
    </row>
    <row r="1086" spans="3:25" x14ac:dyDescent="0.2">
      <c r="C1086" s="3"/>
      <c r="E1086" s="3"/>
      <c r="G1086" s="3"/>
      <c r="I1086" s="3"/>
      <c r="K1086" s="3"/>
      <c r="M1086" s="3"/>
      <c r="O1086" s="3"/>
      <c r="Q1086" s="3"/>
      <c r="S1086" s="3"/>
      <c r="U1086" s="3"/>
      <c r="V1086" s="3"/>
      <c r="W1086" s="3"/>
      <c r="X1086" s="3"/>
      <c r="Y1086" s="3"/>
    </row>
    <row r="1087" spans="3:25" x14ac:dyDescent="0.2">
      <c r="C1087" s="3"/>
      <c r="E1087" s="3"/>
      <c r="G1087" s="3"/>
      <c r="I1087" s="3"/>
      <c r="K1087" s="3"/>
      <c r="M1087" s="3"/>
      <c r="O1087" s="3"/>
      <c r="Q1087" s="3"/>
      <c r="S1087" s="3"/>
      <c r="U1087" s="3"/>
      <c r="V1087" s="3"/>
      <c r="W1087" s="3"/>
      <c r="X1087" s="3"/>
      <c r="Y1087" s="3"/>
    </row>
    <row r="1088" spans="3:25" x14ac:dyDescent="0.2">
      <c r="C1088" s="3"/>
      <c r="E1088" s="3"/>
      <c r="G1088" s="3"/>
      <c r="I1088" s="3"/>
      <c r="K1088" s="3"/>
      <c r="M1088" s="3"/>
      <c r="O1088" s="3"/>
      <c r="Q1088" s="3"/>
      <c r="S1088" s="3"/>
      <c r="U1088" s="3"/>
      <c r="V1088" s="3"/>
      <c r="W1088" s="3"/>
      <c r="X1088" s="3"/>
      <c r="Y1088" s="3"/>
    </row>
    <row r="1089" spans="3:25" x14ac:dyDescent="0.2">
      <c r="C1089" s="3"/>
      <c r="E1089" s="3"/>
      <c r="G1089" s="3"/>
      <c r="I1089" s="3"/>
      <c r="K1089" s="3"/>
      <c r="M1089" s="3"/>
      <c r="O1089" s="3"/>
      <c r="Q1089" s="3"/>
      <c r="S1089" s="3"/>
      <c r="U1089" s="3"/>
      <c r="V1089" s="3"/>
      <c r="W1089" s="3"/>
      <c r="X1089" s="3"/>
      <c r="Y1089" s="3"/>
    </row>
    <row r="1090" spans="3:25" x14ac:dyDescent="0.2">
      <c r="C1090" s="3"/>
      <c r="E1090" s="3"/>
      <c r="G1090" s="3"/>
      <c r="I1090" s="3"/>
      <c r="K1090" s="3"/>
      <c r="M1090" s="3"/>
      <c r="O1090" s="3"/>
      <c r="Q1090" s="3"/>
      <c r="S1090" s="3"/>
      <c r="U1090" s="3"/>
      <c r="V1090" s="3"/>
      <c r="W1090" s="3"/>
      <c r="X1090" s="3"/>
      <c r="Y1090" s="3"/>
    </row>
    <row r="1091" spans="3:25" x14ac:dyDescent="0.2">
      <c r="C1091" s="3"/>
      <c r="E1091" s="3"/>
      <c r="G1091" s="3"/>
      <c r="I1091" s="3"/>
      <c r="K1091" s="3"/>
      <c r="M1091" s="3"/>
      <c r="O1091" s="3"/>
      <c r="Q1091" s="3"/>
      <c r="S1091" s="3"/>
      <c r="U1091" s="3"/>
      <c r="V1091" s="3"/>
      <c r="W1091" s="3"/>
      <c r="X1091" s="3"/>
      <c r="Y1091" s="3"/>
    </row>
    <row r="1092" spans="3:25" x14ac:dyDescent="0.2">
      <c r="C1092" s="3"/>
      <c r="E1092" s="3"/>
      <c r="G1092" s="3"/>
      <c r="I1092" s="3"/>
      <c r="K1092" s="3"/>
      <c r="M1092" s="3"/>
      <c r="O1092" s="3"/>
      <c r="Q1092" s="3"/>
      <c r="S1092" s="3"/>
      <c r="U1092" s="3"/>
      <c r="V1092" s="3"/>
      <c r="W1092" s="3"/>
      <c r="X1092" s="3"/>
      <c r="Y1092" s="3"/>
    </row>
    <row r="1093" spans="3:25" x14ac:dyDescent="0.2">
      <c r="C1093" s="3"/>
      <c r="E1093" s="3"/>
      <c r="G1093" s="3"/>
      <c r="I1093" s="3"/>
      <c r="K1093" s="3"/>
      <c r="M1093" s="3"/>
      <c r="O1093" s="3"/>
      <c r="Q1093" s="3"/>
      <c r="S1093" s="3"/>
      <c r="U1093" s="3"/>
      <c r="V1093" s="3"/>
      <c r="W1093" s="3"/>
      <c r="X1093" s="3"/>
      <c r="Y1093" s="3"/>
    </row>
    <row r="1094" spans="3:25" x14ac:dyDescent="0.2">
      <c r="C1094" s="3"/>
      <c r="E1094" s="3"/>
      <c r="G1094" s="3"/>
      <c r="I1094" s="3"/>
      <c r="K1094" s="3"/>
      <c r="M1094" s="3"/>
      <c r="O1094" s="3"/>
      <c r="Q1094" s="3"/>
      <c r="S1094" s="3"/>
      <c r="U1094" s="3"/>
      <c r="V1094" s="3"/>
      <c r="W1094" s="3"/>
      <c r="X1094" s="3"/>
      <c r="Y1094" s="3"/>
    </row>
    <row r="1095" spans="3:25" x14ac:dyDescent="0.2">
      <c r="C1095" s="3"/>
      <c r="E1095" s="3"/>
      <c r="G1095" s="3"/>
      <c r="I1095" s="3"/>
      <c r="K1095" s="3"/>
      <c r="M1095" s="3"/>
      <c r="O1095" s="3"/>
      <c r="Q1095" s="3"/>
      <c r="S1095" s="3"/>
      <c r="U1095" s="3"/>
      <c r="V1095" s="3"/>
      <c r="W1095" s="3"/>
      <c r="X1095" s="3"/>
      <c r="Y1095" s="3"/>
    </row>
    <row r="1096" spans="3:25" x14ac:dyDescent="0.2">
      <c r="C1096" s="3"/>
      <c r="E1096" s="3"/>
      <c r="G1096" s="3"/>
      <c r="I1096" s="3"/>
      <c r="K1096" s="3"/>
      <c r="M1096" s="3"/>
      <c r="O1096" s="3"/>
      <c r="Q1096" s="3"/>
      <c r="S1096" s="3"/>
      <c r="U1096" s="3"/>
      <c r="V1096" s="3"/>
      <c r="W1096" s="3"/>
      <c r="X1096" s="3"/>
      <c r="Y1096" s="3"/>
    </row>
    <row r="1097" spans="3:25" x14ac:dyDescent="0.2">
      <c r="C1097" s="3"/>
      <c r="E1097" s="3"/>
      <c r="G1097" s="3"/>
      <c r="I1097" s="3"/>
      <c r="K1097" s="3"/>
      <c r="M1097" s="3"/>
      <c r="O1097" s="3"/>
      <c r="Q1097" s="3"/>
      <c r="S1097" s="3"/>
      <c r="U1097" s="3"/>
      <c r="V1097" s="3"/>
      <c r="W1097" s="3"/>
      <c r="X1097" s="3"/>
      <c r="Y1097" s="3"/>
    </row>
    <row r="1098" spans="3:25" x14ac:dyDescent="0.2">
      <c r="C1098" s="3"/>
      <c r="E1098" s="3"/>
      <c r="G1098" s="3"/>
      <c r="I1098" s="3"/>
      <c r="K1098" s="3"/>
      <c r="M1098" s="3"/>
      <c r="O1098" s="3"/>
      <c r="Q1098" s="3"/>
      <c r="S1098" s="3"/>
      <c r="U1098" s="3"/>
      <c r="V1098" s="3"/>
      <c r="W1098" s="3"/>
      <c r="X1098" s="3"/>
      <c r="Y1098" s="3"/>
    </row>
    <row r="1099" spans="3:25" x14ac:dyDescent="0.2">
      <c r="C1099" s="3"/>
      <c r="E1099" s="3"/>
      <c r="G1099" s="3"/>
      <c r="I1099" s="3"/>
      <c r="K1099" s="3"/>
      <c r="M1099" s="3"/>
      <c r="O1099" s="3"/>
      <c r="Q1099" s="3"/>
      <c r="S1099" s="3"/>
      <c r="U1099" s="3"/>
      <c r="V1099" s="3"/>
      <c r="W1099" s="3"/>
      <c r="X1099" s="3"/>
      <c r="Y1099" s="3"/>
    </row>
    <row r="1100" spans="3:25" x14ac:dyDescent="0.2">
      <c r="C1100" s="3"/>
      <c r="E1100" s="3"/>
      <c r="G1100" s="3"/>
      <c r="I1100" s="3"/>
      <c r="K1100" s="3"/>
      <c r="M1100" s="3"/>
      <c r="O1100" s="3"/>
      <c r="Q1100" s="3"/>
      <c r="S1100" s="3"/>
      <c r="U1100" s="3"/>
      <c r="V1100" s="3"/>
      <c r="W1100" s="3"/>
      <c r="X1100" s="3"/>
      <c r="Y1100" s="3"/>
    </row>
    <row r="1101" spans="3:25" x14ac:dyDescent="0.2">
      <c r="C1101" s="3"/>
      <c r="E1101" s="3"/>
      <c r="G1101" s="3"/>
      <c r="I1101" s="3"/>
      <c r="K1101" s="3"/>
      <c r="M1101" s="3"/>
      <c r="O1101" s="3"/>
      <c r="Q1101" s="3"/>
      <c r="S1101" s="3"/>
      <c r="U1101" s="3"/>
      <c r="V1101" s="3"/>
      <c r="W1101" s="3"/>
      <c r="X1101" s="3"/>
      <c r="Y1101" s="3"/>
    </row>
    <row r="1102" spans="3:25" x14ac:dyDescent="0.2">
      <c r="C1102" s="3"/>
      <c r="E1102" s="3"/>
      <c r="G1102" s="3"/>
      <c r="I1102" s="3"/>
      <c r="K1102" s="3"/>
      <c r="M1102" s="3"/>
      <c r="O1102" s="3"/>
      <c r="Q1102" s="3"/>
      <c r="S1102" s="3"/>
      <c r="U1102" s="3"/>
      <c r="V1102" s="3"/>
      <c r="W1102" s="3"/>
      <c r="X1102" s="3"/>
      <c r="Y1102" s="3"/>
    </row>
    <row r="1103" spans="3:25" x14ac:dyDescent="0.2">
      <c r="C1103" s="3"/>
      <c r="E1103" s="3"/>
      <c r="G1103" s="3"/>
      <c r="I1103" s="3"/>
      <c r="K1103" s="3"/>
      <c r="M1103" s="3"/>
      <c r="O1103" s="3"/>
      <c r="Q1103" s="3"/>
      <c r="S1103" s="3"/>
      <c r="U1103" s="3"/>
      <c r="V1103" s="3"/>
      <c r="W1103" s="3"/>
      <c r="X1103" s="3"/>
      <c r="Y1103" s="3"/>
    </row>
    <row r="1104" spans="3:25" x14ac:dyDescent="0.2">
      <c r="C1104" s="3"/>
      <c r="E1104" s="3"/>
      <c r="G1104" s="3"/>
      <c r="I1104" s="3"/>
      <c r="K1104" s="3"/>
      <c r="M1104" s="3"/>
      <c r="O1104" s="3"/>
      <c r="Q1104" s="3"/>
      <c r="S1104" s="3"/>
      <c r="U1104" s="3"/>
      <c r="V1104" s="3"/>
      <c r="W1104" s="3"/>
      <c r="X1104" s="3"/>
      <c r="Y1104" s="3"/>
    </row>
    <row r="1105" spans="3:25" x14ac:dyDescent="0.2">
      <c r="C1105" s="3"/>
      <c r="E1105" s="3"/>
      <c r="G1105" s="3"/>
      <c r="I1105" s="3"/>
      <c r="K1105" s="3"/>
      <c r="M1105" s="3"/>
      <c r="O1105" s="3"/>
      <c r="Q1105" s="3"/>
      <c r="S1105" s="3"/>
      <c r="U1105" s="3"/>
      <c r="V1105" s="3"/>
      <c r="W1105" s="3"/>
      <c r="X1105" s="3"/>
      <c r="Y1105" s="3"/>
    </row>
    <row r="1106" spans="3:25" x14ac:dyDescent="0.2">
      <c r="C1106" s="3"/>
      <c r="E1106" s="3"/>
      <c r="G1106" s="3"/>
      <c r="I1106" s="3"/>
      <c r="K1106" s="3"/>
      <c r="M1106" s="3"/>
      <c r="O1106" s="3"/>
      <c r="Q1106" s="3"/>
      <c r="S1106" s="3"/>
      <c r="U1106" s="3"/>
      <c r="V1106" s="3"/>
      <c r="W1106" s="3"/>
      <c r="X1106" s="3"/>
      <c r="Y1106" s="3"/>
    </row>
    <row r="1107" spans="3:25" x14ac:dyDescent="0.2">
      <c r="C1107" s="3"/>
      <c r="E1107" s="3"/>
      <c r="G1107" s="3"/>
      <c r="I1107" s="3"/>
      <c r="K1107" s="3"/>
      <c r="M1107" s="3"/>
      <c r="O1107" s="3"/>
      <c r="Q1107" s="3"/>
      <c r="S1107" s="3"/>
      <c r="U1107" s="3"/>
      <c r="V1107" s="3"/>
      <c r="W1107" s="3"/>
      <c r="X1107" s="3"/>
      <c r="Y1107" s="3"/>
    </row>
    <row r="1108" spans="3:25" x14ac:dyDescent="0.2">
      <c r="C1108" s="3"/>
      <c r="E1108" s="3"/>
      <c r="G1108" s="3"/>
      <c r="I1108" s="3"/>
      <c r="K1108" s="3"/>
      <c r="M1108" s="3"/>
      <c r="O1108" s="3"/>
      <c r="Q1108" s="3"/>
      <c r="S1108" s="3"/>
      <c r="U1108" s="3"/>
      <c r="V1108" s="3"/>
      <c r="W1108" s="3"/>
      <c r="X1108" s="3"/>
      <c r="Y1108" s="3"/>
    </row>
    <row r="1109" spans="3:25" x14ac:dyDescent="0.2">
      <c r="C1109" s="3"/>
      <c r="E1109" s="3"/>
      <c r="G1109" s="3"/>
      <c r="I1109" s="3"/>
      <c r="K1109" s="3"/>
      <c r="M1109" s="3"/>
      <c r="O1109" s="3"/>
      <c r="Q1109" s="3"/>
      <c r="S1109" s="3"/>
      <c r="U1109" s="3"/>
      <c r="V1109" s="3"/>
      <c r="W1109" s="3"/>
      <c r="X1109" s="3"/>
      <c r="Y1109" s="3"/>
    </row>
    <row r="1110" spans="3:25" x14ac:dyDescent="0.2">
      <c r="C1110" s="3"/>
      <c r="E1110" s="3"/>
      <c r="G1110" s="3"/>
      <c r="I1110" s="3"/>
      <c r="K1110" s="3"/>
      <c r="M1110" s="3"/>
      <c r="O1110" s="3"/>
      <c r="Q1110" s="3"/>
      <c r="S1110" s="3"/>
      <c r="U1110" s="3"/>
      <c r="V1110" s="3"/>
      <c r="W1110" s="3"/>
      <c r="X1110" s="3"/>
      <c r="Y1110" s="3"/>
    </row>
    <row r="1111" spans="3:25" x14ac:dyDescent="0.2">
      <c r="C1111" s="3"/>
      <c r="E1111" s="3"/>
      <c r="G1111" s="3"/>
      <c r="I1111" s="3"/>
      <c r="K1111" s="3"/>
      <c r="M1111" s="3"/>
      <c r="O1111" s="3"/>
      <c r="Q1111" s="3"/>
      <c r="S1111" s="3"/>
      <c r="U1111" s="3"/>
      <c r="V1111" s="3"/>
      <c r="W1111" s="3"/>
      <c r="X1111" s="3"/>
      <c r="Y1111" s="3"/>
    </row>
    <row r="1112" spans="3:25" x14ac:dyDescent="0.2">
      <c r="C1112" s="3"/>
      <c r="E1112" s="3"/>
      <c r="G1112" s="3"/>
      <c r="I1112" s="3"/>
      <c r="K1112" s="3"/>
      <c r="M1112" s="3"/>
      <c r="O1112" s="3"/>
      <c r="Q1112" s="3"/>
      <c r="S1112" s="3"/>
      <c r="U1112" s="3"/>
      <c r="V1112" s="3"/>
      <c r="W1112" s="3"/>
      <c r="X1112" s="3"/>
      <c r="Y1112" s="3"/>
    </row>
    <row r="1113" spans="3:25" x14ac:dyDescent="0.2">
      <c r="C1113" s="3"/>
      <c r="E1113" s="3"/>
      <c r="G1113" s="3"/>
      <c r="I1113" s="3"/>
      <c r="K1113" s="3"/>
      <c r="M1113" s="3"/>
      <c r="O1113" s="3"/>
      <c r="Q1113" s="3"/>
      <c r="S1113" s="3"/>
      <c r="U1113" s="3"/>
      <c r="V1113" s="3"/>
      <c r="W1113" s="3"/>
      <c r="X1113" s="3"/>
      <c r="Y1113" s="3"/>
    </row>
    <row r="1114" spans="3:25" x14ac:dyDescent="0.2">
      <c r="C1114" s="3"/>
      <c r="E1114" s="3"/>
      <c r="G1114" s="3"/>
      <c r="I1114" s="3"/>
      <c r="K1114" s="3"/>
      <c r="M1114" s="3"/>
      <c r="O1114" s="3"/>
      <c r="Q1114" s="3"/>
      <c r="S1114" s="3"/>
      <c r="U1114" s="3"/>
      <c r="V1114" s="3"/>
      <c r="W1114" s="3"/>
      <c r="X1114" s="3"/>
      <c r="Y1114" s="3"/>
    </row>
    <row r="1115" spans="3:25" x14ac:dyDescent="0.2">
      <c r="C1115" s="3"/>
      <c r="E1115" s="3"/>
      <c r="G1115" s="3"/>
      <c r="I1115" s="3"/>
      <c r="K1115" s="3"/>
      <c r="M1115" s="3"/>
      <c r="O1115" s="3"/>
      <c r="Q1115" s="3"/>
      <c r="S1115" s="3"/>
      <c r="U1115" s="3"/>
      <c r="V1115" s="3"/>
      <c r="W1115" s="3"/>
      <c r="X1115" s="3"/>
      <c r="Y1115" s="3"/>
    </row>
    <row r="1116" spans="3:25" x14ac:dyDescent="0.2">
      <c r="C1116" s="3"/>
      <c r="E1116" s="3"/>
      <c r="G1116" s="3"/>
      <c r="I1116" s="3"/>
      <c r="K1116" s="3"/>
      <c r="M1116" s="3"/>
      <c r="O1116" s="3"/>
      <c r="Q1116" s="3"/>
      <c r="S1116" s="3"/>
      <c r="U1116" s="3"/>
      <c r="V1116" s="3"/>
      <c r="W1116" s="3"/>
      <c r="X1116" s="3"/>
      <c r="Y1116" s="3"/>
    </row>
    <row r="1117" spans="3:25" x14ac:dyDescent="0.2">
      <c r="C1117" s="3"/>
      <c r="E1117" s="3"/>
      <c r="G1117" s="3"/>
      <c r="I1117" s="3"/>
      <c r="K1117" s="3"/>
      <c r="M1117" s="3"/>
      <c r="O1117" s="3"/>
      <c r="Q1117" s="3"/>
      <c r="S1117" s="3"/>
      <c r="U1117" s="3"/>
      <c r="V1117" s="3"/>
      <c r="W1117" s="3"/>
      <c r="X1117" s="3"/>
      <c r="Y1117" s="3"/>
    </row>
    <row r="1118" spans="3:25" x14ac:dyDescent="0.2">
      <c r="C1118" s="3"/>
      <c r="E1118" s="3"/>
      <c r="G1118" s="3"/>
      <c r="I1118" s="3"/>
      <c r="K1118" s="3"/>
      <c r="M1118" s="3"/>
      <c r="O1118" s="3"/>
      <c r="Q1118" s="3"/>
      <c r="S1118" s="3"/>
      <c r="U1118" s="3"/>
      <c r="V1118" s="3"/>
      <c r="W1118" s="3"/>
      <c r="X1118" s="3"/>
      <c r="Y1118" s="3"/>
    </row>
    <row r="1119" spans="3:25" x14ac:dyDescent="0.2">
      <c r="C1119" s="3"/>
      <c r="E1119" s="3"/>
      <c r="G1119" s="3"/>
      <c r="I1119" s="3"/>
      <c r="K1119" s="3"/>
      <c r="M1119" s="3"/>
      <c r="O1119" s="3"/>
      <c r="Q1119" s="3"/>
      <c r="S1119" s="3"/>
      <c r="U1119" s="3"/>
      <c r="V1119" s="3"/>
      <c r="W1119" s="3"/>
      <c r="X1119" s="3"/>
      <c r="Y1119" s="3"/>
    </row>
    <row r="1120" spans="3:25" x14ac:dyDescent="0.2">
      <c r="C1120" s="3"/>
      <c r="E1120" s="3"/>
      <c r="G1120" s="3"/>
      <c r="I1120" s="3"/>
      <c r="K1120" s="3"/>
      <c r="M1120" s="3"/>
      <c r="O1120" s="3"/>
      <c r="Q1120" s="3"/>
      <c r="S1120" s="3"/>
      <c r="U1120" s="3"/>
      <c r="V1120" s="3"/>
      <c r="W1120" s="3"/>
      <c r="X1120" s="3"/>
      <c r="Y1120" s="3"/>
    </row>
    <row r="1121" spans="3:25" x14ac:dyDescent="0.2">
      <c r="C1121" s="3"/>
      <c r="E1121" s="3"/>
      <c r="G1121" s="3"/>
      <c r="I1121" s="3"/>
      <c r="K1121" s="3"/>
      <c r="M1121" s="3"/>
      <c r="O1121" s="3"/>
      <c r="Q1121" s="3"/>
      <c r="S1121" s="3"/>
      <c r="U1121" s="3"/>
      <c r="V1121" s="3"/>
      <c r="W1121" s="3"/>
      <c r="X1121" s="3"/>
      <c r="Y1121" s="3"/>
    </row>
    <row r="1122" spans="3:25" x14ac:dyDescent="0.2">
      <c r="C1122" s="3"/>
      <c r="E1122" s="3"/>
      <c r="G1122" s="3"/>
      <c r="I1122" s="3"/>
      <c r="K1122" s="3"/>
      <c r="M1122" s="3"/>
      <c r="O1122" s="3"/>
      <c r="Q1122" s="3"/>
      <c r="S1122" s="3"/>
      <c r="U1122" s="3"/>
      <c r="V1122" s="3"/>
      <c r="W1122" s="3"/>
      <c r="X1122" s="3"/>
      <c r="Y1122" s="3"/>
    </row>
    <row r="1123" spans="3:25" x14ac:dyDescent="0.2">
      <c r="C1123" s="3"/>
      <c r="E1123" s="3"/>
      <c r="G1123" s="3"/>
      <c r="I1123" s="3"/>
      <c r="K1123" s="3"/>
      <c r="M1123" s="3"/>
      <c r="O1123" s="3"/>
      <c r="Q1123" s="3"/>
      <c r="S1123" s="3"/>
      <c r="U1123" s="3"/>
      <c r="V1123" s="3"/>
      <c r="W1123" s="3"/>
      <c r="X1123" s="3"/>
      <c r="Y1123" s="3"/>
    </row>
    <row r="1124" spans="3:25" x14ac:dyDescent="0.2">
      <c r="C1124" s="3"/>
      <c r="E1124" s="3"/>
      <c r="G1124" s="3"/>
      <c r="I1124" s="3"/>
      <c r="K1124" s="3"/>
      <c r="M1124" s="3"/>
      <c r="O1124" s="3"/>
      <c r="Q1124" s="3"/>
      <c r="S1124" s="3"/>
      <c r="U1124" s="3"/>
      <c r="V1124" s="3"/>
      <c r="W1124" s="3"/>
      <c r="X1124" s="3"/>
      <c r="Y1124" s="3"/>
    </row>
    <row r="1125" spans="3:25" x14ac:dyDescent="0.2">
      <c r="C1125" s="3"/>
      <c r="E1125" s="3"/>
      <c r="G1125" s="3"/>
      <c r="I1125" s="3"/>
      <c r="K1125" s="3"/>
      <c r="M1125" s="3"/>
      <c r="O1125" s="3"/>
      <c r="Q1125" s="3"/>
      <c r="S1125" s="3"/>
      <c r="U1125" s="3"/>
      <c r="V1125" s="3"/>
      <c r="W1125" s="3"/>
      <c r="X1125" s="3"/>
      <c r="Y1125" s="3"/>
    </row>
    <row r="1126" spans="3:25" x14ac:dyDescent="0.2">
      <c r="C1126" s="3"/>
      <c r="E1126" s="3"/>
      <c r="G1126" s="3"/>
      <c r="I1126" s="3"/>
      <c r="K1126" s="3"/>
      <c r="M1126" s="3"/>
      <c r="O1126" s="3"/>
      <c r="Q1126" s="3"/>
      <c r="S1126" s="3"/>
      <c r="U1126" s="3"/>
      <c r="V1126" s="3"/>
      <c r="W1126" s="3"/>
      <c r="X1126" s="3"/>
      <c r="Y1126" s="3"/>
    </row>
    <row r="1127" spans="3:25" x14ac:dyDescent="0.2">
      <c r="C1127" s="3"/>
      <c r="E1127" s="3"/>
      <c r="G1127" s="3"/>
      <c r="I1127" s="3"/>
      <c r="K1127" s="3"/>
      <c r="M1127" s="3"/>
      <c r="O1127" s="3"/>
      <c r="Q1127" s="3"/>
      <c r="S1127" s="3"/>
      <c r="U1127" s="3"/>
      <c r="V1127" s="3"/>
      <c r="W1127" s="3"/>
      <c r="X1127" s="3"/>
      <c r="Y1127" s="3"/>
    </row>
    <row r="1128" spans="3:25" x14ac:dyDescent="0.2">
      <c r="C1128" s="3"/>
      <c r="E1128" s="3"/>
      <c r="G1128" s="3"/>
      <c r="I1128" s="3"/>
      <c r="K1128" s="3"/>
      <c r="M1128" s="3"/>
      <c r="O1128" s="3"/>
      <c r="Q1128" s="3"/>
      <c r="S1128" s="3"/>
      <c r="U1128" s="3"/>
      <c r="V1128" s="3"/>
      <c r="W1128" s="3"/>
      <c r="X1128" s="3"/>
      <c r="Y1128" s="3"/>
    </row>
    <row r="1129" spans="3:25" x14ac:dyDescent="0.2">
      <c r="C1129" s="3"/>
      <c r="E1129" s="3"/>
      <c r="G1129" s="3"/>
      <c r="I1129" s="3"/>
      <c r="K1129" s="3"/>
      <c r="M1129" s="3"/>
      <c r="O1129" s="3"/>
      <c r="Q1129" s="3"/>
      <c r="S1129" s="3"/>
      <c r="U1129" s="3"/>
      <c r="V1129" s="3"/>
      <c r="W1129" s="3"/>
      <c r="X1129" s="3"/>
      <c r="Y1129" s="3"/>
    </row>
    <row r="1130" spans="3:25" x14ac:dyDescent="0.2">
      <c r="C1130" s="3"/>
      <c r="E1130" s="3"/>
      <c r="G1130" s="3"/>
      <c r="I1130" s="3"/>
      <c r="K1130" s="3"/>
      <c r="M1130" s="3"/>
      <c r="O1130" s="3"/>
      <c r="Q1130" s="3"/>
      <c r="S1130" s="3"/>
      <c r="U1130" s="3"/>
      <c r="V1130" s="3"/>
      <c r="W1130" s="3"/>
      <c r="X1130" s="3"/>
      <c r="Y1130" s="3"/>
    </row>
    <row r="1131" spans="3:25" x14ac:dyDescent="0.2">
      <c r="C1131" s="3"/>
      <c r="E1131" s="3"/>
      <c r="G1131" s="3"/>
      <c r="I1131" s="3"/>
      <c r="K1131" s="3"/>
      <c r="M1131" s="3"/>
      <c r="O1131" s="3"/>
      <c r="Q1131" s="3"/>
      <c r="S1131" s="3"/>
      <c r="U1131" s="3"/>
      <c r="V1131" s="3"/>
      <c r="W1131" s="3"/>
      <c r="X1131" s="3"/>
      <c r="Y1131" s="3"/>
    </row>
    <row r="1132" spans="3:25" x14ac:dyDescent="0.2">
      <c r="C1132" s="3"/>
      <c r="E1132" s="3"/>
      <c r="G1132" s="3"/>
      <c r="I1132" s="3"/>
      <c r="K1132" s="3"/>
      <c r="M1132" s="3"/>
      <c r="O1132" s="3"/>
      <c r="Q1132" s="3"/>
      <c r="S1132" s="3"/>
      <c r="U1132" s="3"/>
      <c r="V1132" s="3"/>
      <c r="W1132" s="3"/>
      <c r="X1132" s="3"/>
      <c r="Y1132" s="3"/>
    </row>
    <row r="1133" spans="3:25" x14ac:dyDescent="0.2">
      <c r="C1133" s="3"/>
      <c r="E1133" s="3"/>
      <c r="G1133" s="3"/>
      <c r="I1133" s="3"/>
      <c r="K1133" s="3"/>
      <c r="M1133" s="3"/>
      <c r="O1133" s="3"/>
      <c r="Q1133" s="3"/>
      <c r="S1133" s="3"/>
      <c r="U1133" s="3"/>
      <c r="V1133" s="3"/>
      <c r="W1133" s="3"/>
      <c r="X1133" s="3"/>
      <c r="Y1133" s="3"/>
    </row>
    <row r="1134" spans="3:25" x14ac:dyDescent="0.2">
      <c r="C1134" s="3"/>
      <c r="E1134" s="3"/>
      <c r="G1134" s="3"/>
      <c r="I1134" s="3"/>
      <c r="K1134" s="3"/>
      <c r="M1134" s="3"/>
      <c r="O1134" s="3"/>
      <c r="Q1134" s="3"/>
      <c r="S1134" s="3"/>
      <c r="U1134" s="3"/>
      <c r="V1134" s="3"/>
      <c r="W1134" s="3"/>
      <c r="X1134" s="3"/>
      <c r="Y1134" s="3"/>
    </row>
    <row r="1135" spans="3:25" x14ac:dyDescent="0.2">
      <c r="C1135" s="3"/>
      <c r="E1135" s="3"/>
      <c r="G1135" s="3"/>
      <c r="I1135" s="3"/>
      <c r="K1135" s="3"/>
      <c r="M1135" s="3"/>
      <c r="O1135" s="3"/>
      <c r="Q1135" s="3"/>
      <c r="S1135" s="3"/>
      <c r="U1135" s="3"/>
      <c r="V1135" s="3"/>
      <c r="W1135" s="3"/>
      <c r="X1135" s="3"/>
      <c r="Y1135" s="3"/>
    </row>
    <row r="1136" spans="3:25" x14ac:dyDescent="0.2">
      <c r="C1136" s="3"/>
      <c r="E1136" s="3"/>
      <c r="G1136" s="3"/>
      <c r="I1136" s="3"/>
      <c r="K1136" s="3"/>
      <c r="M1136" s="3"/>
      <c r="O1136" s="3"/>
      <c r="Q1136" s="3"/>
      <c r="S1136" s="3"/>
      <c r="U1136" s="3"/>
      <c r="V1136" s="3"/>
      <c r="W1136" s="3"/>
      <c r="X1136" s="3"/>
      <c r="Y1136" s="3"/>
    </row>
    <row r="1137" spans="3:25" x14ac:dyDescent="0.2">
      <c r="C1137" s="3"/>
      <c r="E1137" s="3"/>
      <c r="G1137" s="3"/>
      <c r="I1137" s="3"/>
      <c r="K1137" s="3"/>
      <c r="M1137" s="3"/>
      <c r="O1137" s="3"/>
      <c r="Q1137" s="3"/>
      <c r="S1137" s="3"/>
      <c r="U1137" s="3"/>
      <c r="V1137" s="3"/>
      <c r="W1137" s="3"/>
      <c r="X1137" s="3"/>
      <c r="Y1137" s="3"/>
    </row>
    <row r="1138" spans="3:25" x14ac:dyDescent="0.2">
      <c r="C1138" s="3"/>
      <c r="E1138" s="3"/>
      <c r="G1138" s="3"/>
      <c r="I1138" s="3"/>
      <c r="K1138" s="3"/>
      <c r="M1138" s="3"/>
      <c r="O1138" s="3"/>
      <c r="Q1138" s="3"/>
      <c r="S1138" s="3"/>
      <c r="U1138" s="3"/>
      <c r="V1138" s="3"/>
      <c r="W1138" s="3"/>
      <c r="X1138" s="3"/>
      <c r="Y1138" s="3"/>
    </row>
    <row r="1139" spans="3:25" x14ac:dyDescent="0.2">
      <c r="C1139" s="3"/>
      <c r="E1139" s="3"/>
      <c r="G1139" s="3"/>
      <c r="I1139" s="3"/>
      <c r="K1139" s="3"/>
      <c r="M1139" s="3"/>
      <c r="O1139" s="3"/>
      <c r="Q1139" s="3"/>
      <c r="S1139" s="3"/>
      <c r="U1139" s="3"/>
      <c r="V1139" s="3"/>
      <c r="W1139" s="3"/>
      <c r="X1139" s="3"/>
      <c r="Y1139" s="3"/>
    </row>
    <row r="1140" spans="3:25" x14ac:dyDescent="0.2">
      <c r="C1140" s="3"/>
      <c r="E1140" s="3"/>
      <c r="G1140" s="3"/>
      <c r="I1140" s="3"/>
      <c r="K1140" s="3"/>
      <c r="M1140" s="3"/>
      <c r="O1140" s="3"/>
      <c r="Q1140" s="3"/>
      <c r="S1140" s="3"/>
      <c r="U1140" s="3"/>
      <c r="V1140" s="3"/>
      <c r="W1140" s="3"/>
      <c r="X1140" s="3"/>
      <c r="Y1140" s="3"/>
    </row>
    <row r="1141" spans="3:25" x14ac:dyDescent="0.2">
      <c r="C1141" s="3"/>
      <c r="E1141" s="3"/>
      <c r="G1141" s="3"/>
      <c r="I1141" s="3"/>
      <c r="K1141" s="3"/>
      <c r="M1141" s="3"/>
      <c r="O1141" s="3"/>
      <c r="Q1141" s="3"/>
      <c r="S1141" s="3"/>
      <c r="U1141" s="3"/>
      <c r="V1141" s="3"/>
      <c r="W1141" s="3"/>
      <c r="X1141" s="3"/>
      <c r="Y1141" s="3"/>
    </row>
    <row r="1142" spans="3:25" x14ac:dyDescent="0.2">
      <c r="C1142" s="3"/>
      <c r="E1142" s="3"/>
      <c r="G1142" s="3"/>
      <c r="I1142" s="3"/>
      <c r="K1142" s="3"/>
      <c r="M1142" s="3"/>
      <c r="O1142" s="3"/>
      <c r="Q1142" s="3"/>
      <c r="S1142" s="3"/>
      <c r="U1142" s="3"/>
      <c r="V1142" s="3"/>
      <c r="W1142" s="3"/>
      <c r="X1142" s="3"/>
      <c r="Y1142" s="3"/>
    </row>
    <row r="1143" spans="3:25" x14ac:dyDescent="0.2">
      <c r="C1143" s="3"/>
      <c r="E1143" s="3"/>
      <c r="G1143" s="3"/>
      <c r="I1143" s="3"/>
      <c r="K1143" s="3"/>
      <c r="M1143" s="3"/>
      <c r="O1143" s="3"/>
      <c r="Q1143" s="3"/>
      <c r="S1143" s="3"/>
      <c r="U1143" s="3"/>
      <c r="V1143" s="3"/>
      <c r="W1143" s="3"/>
      <c r="X1143" s="3"/>
      <c r="Y1143" s="3"/>
    </row>
    <row r="1144" spans="3:25" x14ac:dyDescent="0.2">
      <c r="C1144" s="3"/>
      <c r="E1144" s="3"/>
      <c r="G1144" s="3"/>
      <c r="I1144" s="3"/>
      <c r="K1144" s="3"/>
      <c r="M1144" s="3"/>
      <c r="O1144" s="3"/>
      <c r="Q1144" s="3"/>
      <c r="S1144" s="3"/>
      <c r="U1144" s="3"/>
      <c r="V1144" s="3"/>
      <c r="W1144" s="3"/>
      <c r="X1144" s="3"/>
      <c r="Y1144" s="3"/>
    </row>
    <row r="1145" spans="3:25" x14ac:dyDescent="0.2">
      <c r="C1145" s="3"/>
      <c r="E1145" s="3"/>
      <c r="G1145" s="3"/>
      <c r="I1145" s="3"/>
      <c r="K1145" s="3"/>
      <c r="M1145" s="3"/>
      <c r="O1145" s="3"/>
      <c r="Q1145" s="3"/>
      <c r="S1145" s="3"/>
      <c r="U1145" s="3"/>
      <c r="V1145" s="3"/>
      <c r="W1145" s="3"/>
      <c r="X1145" s="3"/>
      <c r="Y1145" s="3"/>
    </row>
    <row r="1146" spans="3:25" x14ac:dyDescent="0.2">
      <c r="C1146" s="3"/>
      <c r="E1146" s="3"/>
      <c r="G1146" s="3"/>
      <c r="I1146" s="3"/>
      <c r="K1146" s="3"/>
      <c r="M1146" s="3"/>
      <c r="O1146" s="3"/>
      <c r="Q1146" s="3"/>
      <c r="S1146" s="3"/>
      <c r="U1146" s="3"/>
      <c r="V1146" s="3"/>
      <c r="W1146" s="3"/>
      <c r="X1146" s="3"/>
      <c r="Y1146" s="3"/>
    </row>
    <row r="1147" spans="3:25" x14ac:dyDescent="0.2">
      <c r="C1147" s="3"/>
      <c r="E1147" s="3"/>
      <c r="G1147" s="3"/>
      <c r="I1147" s="3"/>
      <c r="K1147" s="3"/>
      <c r="M1147" s="3"/>
      <c r="O1147" s="3"/>
      <c r="Q1147" s="3"/>
      <c r="S1147" s="3"/>
      <c r="U1147" s="3"/>
      <c r="V1147" s="3"/>
      <c r="W1147" s="3"/>
      <c r="X1147" s="3"/>
      <c r="Y1147" s="3"/>
    </row>
    <row r="1148" spans="3:25" x14ac:dyDescent="0.2">
      <c r="C1148" s="3"/>
      <c r="E1148" s="3"/>
      <c r="G1148" s="3"/>
      <c r="I1148" s="3"/>
      <c r="K1148" s="3"/>
      <c r="M1148" s="3"/>
      <c r="O1148" s="3"/>
      <c r="Q1148" s="3"/>
      <c r="S1148" s="3"/>
      <c r="U1148" s="3"/>
      <c r="V1148" s="3"/>
      <c r="W1148" s="3"/>
      <c r="X1148" s="3"/>
      <c r="Y1148" s="3"/>
    </row>
    <row r="1149" spans="3:25" x14ac:dyDescent="0.2">
      <c r="C1149" s="3"/>
      <c r="E1149" s="3"/>
      <c r="G1149" s="3"/>
      <c r="I1149" s="3"/>
      <c r="K1149" s="3"/>
      <c r="M1149" s="3"/>
      <c r="O1149" s="3"/>
      <c r="Q1149" s="3"/>
      <c r="S1149" s="3"/>
      <c r="U1149" s="3"/>
      <c r="V1149" s="3"/>
      <c r="W1149" s="3"/>
      <c r="X1149" s="3"/>
      <c r="Y1149" s="3"/>
    </row>
    <row r="1150" spans="3:25" x14ac:dyDescent="0.2">
      <c r="C1150" s="3"/>
      <c r="E1150" s="3"/>
      <c r="G1150" s="3"/>
      <c r="I1150" s="3"/>
      <c r="K1150" s="3"/>
      <c r="M1150" s="3"/>
      <c r="O1150" s="3"/>
      <c r="Q1150" s="3"/>
      <c r="S1150" s="3"/>
      <c r="U1150" s="3"/>
      <c r="V1150" s="3"/>
      <c r="W1150" s="3"/>
      <c r="X1150" s="3"/>
      <c r="Y1150" s="3"/>
    </row>
    <row r="1151" spans="3:25" x14ac:dyDescent="0.2">
      <c r="C1151" s="3"/>
      <c r="E1151" s="3"/>
      <c r="G1151" s="3"/>
      <c r="I1151" s="3"/>
      <c r="K1151" s="3"/>
      <c r="M1151" s="3"/>
      <c r="O1151" s="3"/>
      <c r="Q1151" s="3"/>
      <c r="S1151" s="3"/>
      <c r="U1151" s="3"/>
      <c r="V1151" s="3"/>
      <c r="W1151" s="3"/>
      <c r="X1151" s="3"/>
      <c r="Y1151" s="3"/>
    </row>
    <row r="1152" spans="3:25" x14ac:dyDescent="0.2">
      <c r="C1152" s="3"/>
      <c r="E1152" s="3"/>
      <c r="G1152" s="3"/>
      <c r="I1152" s="3"/>
      <c r="K1152" s="3"/>
      <c r="M1152" s="3"/>
      <c r="O1152" s="3"/>
      <c r="Q1152" s="3"/>
      <c r="S1152" s="3"/>
      <c r="U1152" s="3"/>
      <c r="V1152" s="3"/>
      <c r="W1152" s="3"/>
      <c r="X1152" s="3"/>
      <c r="Y1152" s="3"/>
    </row>
    <row r="1153" spans="3:25" x14ac:dyDescent="0.2">
      <c r="C1153" s="3"/>
      <c r="E1153" s="3"/>
      <c r="G1153" s="3"/>
      <c r="I1153" s="3"/>
      <c r="K1153" s="3"/>
      <c r="M1153" s="3"/>
      <c r="O1153" s="3"/>
      <c r="Q1153" s="3"/>
      <c r="S1153" s="3"/>
      <c r="U1153" s="3"/>
      <c r="V1153" s="3"/>
      <c r="W1153" s="3"/>
      <c r="X1153" s="3"/>
      <c r="Y1153" s="3"/>
    </row>
    <row r="1154" spans="3:25" x14ac:dyDescent="0.2">
      <c r="C1154" s="3"/>
      <c r="E1154" s="3"/>
      <c r="G1154" s="3"/>
      <c r="I1154" s="3"/>
      <c r="K1154" s="3"/>
      <c r="M1154" s="3"/>
      <c r="O1154" s="3"/>
      <c r="Q1154" s="3"/>
      <c r="S1154" s="3"/>
      <c r="U1154" s="3"/>
      <c r="V1154" s="3"/>
      <c r="W1154" s="3"/>
      <c r="X1154" s="3"/>
      <c r="Y1154" s="3"/>
    </row>
    <row r="1155" spans="3:25" x14ac:dyDescent="0.2">
      <c r="C1155" s="3"/>
      <c r="E1155" s="3"/>
      <c r="G1155" s="3"/>
      <c r="I1155" s="3"/>
      <c r="K1155" s="3"/>
      <c r="M1155" s="3"/>
      <c r="O1155" s="3"/>
      <c r="Q1155" s="3"/>
      <c r="S1155" s="3"/>
      <c r="U1155" s="3"/>
      <c r="V1155" s="3"/>
      <c r="W1155" s="3"/>
      <c r="X1155" s="3"/>
      <c r="Y1155" s="3"/>
    </row>
    <row r="1156" spans="3:25" x14ac:dyDescent="0.2">
      <c r="C1156" s="3"/>
      <c r="E1156" s="3"/>
      <c r="G1156" s="3"/>
      <c r="I1156" s="3"/>
      <c r="K1156" s="3"/>
      <c r="M1156" s="3"/>
      <c r="O1156" s="3"/>
      <c r="Q1156" s="3"/>
      <c r="S1156" s="3"/>
      <c r="U1156" s="3"/>
      <c r="V1156" s="3"/>
      <c r="W1156" s="3"/>
      <c r="X1156" s="3"/>
      <c r="Y1156" s="3"/>
    </row>
    <row r="1157" spans="3:25" x14ac:dyDescent="0.2">
      <c r="C1157" s="3"/>
      <c r="E1157" s="3"/>
      <c r="G1157" s="3"/>
      <c r="I1157" s="3"/>
      <c r="K1157" s="3"/>
      <c r="M1157" s="3"/>
      <c r="O1157" s="3"/>
      <c r="Q1157" s="3"/>
      <c r="S1157" s="3"/>
      <c r="U1157" s="3"/>
      <c r="V1157" s="3"/>
      <c r="W1157" s="3"/>
      <c r="X1157" s="3"/>
      <c r="Y1157" s="3"/>
    </row>
    <row r="1158" spans="3:25" x14ac:dyDescent="0.2">
      <c r="C1158" s="3"/>
      <c r="E1158" s="3"/>
      <c r="G1158" s="3"/>
      <c r="I1158" s="3"/>
      <c r="K1158" s="3"/>
      <c r="M1158" s="3"/>
      <c r="O1158" s="3"/>
      <c r="Q1158" s="3"/>
      <c r="S1158" s="3"/>
      <c r="U1158" s="3"/>
      <c r="V1158" s="3"/>
      <c r="W1158" s="3"/>
      <c r="X1158" s="3"/>
      <c r="Y1158" s="3"/>
    </row>
    <row r="1159" spans="3:25" x14ac:dyDescent="0.2">
      <c r="C1159" s="3"/>
      <c r="E1159" s="3"/>
      <c r="G1159" s="3"/>
      <c r="I1159" s="3"/>
      <c r="K1159" s="3"/>
      <c r="M1159" s="3"/>
      <c r="O1159" s="3"/>
      <c r="Q1159" s="3"/>
      <c r="S1159" s="3"/>
      <c r="U1159" s="3"/>
      <c r="V1159" s="3"/>
      <c r="W1159" s="3"/>
      <c r="X1159" s="3"/>
      <c r="Y1159" s="3"/>
    </row>
    <row r="1160" spans="3:25" x14ac:dyDescent="0.2">
      <c r="C1160" s="3"/>
      <c r="E1160" s="3"/>
      <c r="G1160" s="3"/>
      <c r="I1160" s="3"/>
      <c r="K1160" s="3"/>
      <c r="M1160" s="3"/>
      <c r="O1160" s="3"/>
      <c r="Q1160" s="3"/>
      <c r="S1160" s="3"/>
      <c r="U1160" s="3"/>
      <c r="V1160" s="3"/>
      <c r="W1160" s="3"/>
      <c r="X1160" s="3"/>
      <c r="Y1160" s="3"/>
    </row>
    <row r="1161" spans="3:25" x14ac:dyDescent="0.2">
      <c r="C1161" s="3"/>
      <c r="E1161" s="3"/>
      <c r="G1161" s="3"/>
      <c r="I1161" s="3"/>
      <c r="K1161" s="3"/>
      <c r="M1161" s="3"/>
      <c r="O1161" s="3"/>
      <c r="Q1161" s="3"/>
      <c r="S1161" s="3"/>
      <c r="U1161" s="3"/>
      <c r="V1161" s="3"/>
      <c r="W1161" s="3"/>
      <c r="X1161" s="3"/>
      <c r="Y1161" s="3"/>
    </row>
    <row r="1162" spans="3:25" x14ac:dyDescent="0.2">
      <c r="C1162" s="3"/>
      <c r="E1162" s="3"/>
      <c r="G1162" s="3"/>
      <c r="I1162" s="3"/>
      <c r="K1162" s="3"/>
      <c r="M1162" s="3"/>
      <c r="O1162" s="3"/>
      <c r="Q1162" s="3"/>
      <c r="S1162" s="3"/>
      <c r="U1162" s="3"/>
      <c r="V1162" s="3"/>
      <c r="W1162" s="3"/>
      <c r="X1162" s="3"/>
      <c r="Y1162" s="3"/>
    </row>
    <row r="1163" spans="3:25" x14ac:dyDescent="0.2">
      <c r="C1163" s="3"/>
      <c r="E1163" s="3"/>
      <c r="G1163" s="3"/>
      <c r="I1163" s="3"/>
      <c r="K1163" s="3"/>
      <c r="M1163" s="3"/>
      <c r="O1163" s="3"/>
      <c r="Q1163" s="3"/>
      <c r="S1163" s="3"/>
      <c r="U1163" s="3"/>
      <c r="V1163" s="3"/>
      <c r="W1163" s="3"/>
      <c r="X1163" s="3"/>
      <c r="Y1163" s="3"/>
    </row>
    <row r="1164" spans="3:25" x14ac:dyDescent="0.2">
      <c r="C1164" s="3"/>
      <c r="E1164" s="3"/>
      <c r="G1164" s="3"/>
      <c r="I1164" s="3"/>
      <c r="K1164" s="3"/>
      <c r="M1164" s="3"/>
      <c r="O1164" s="3"/>
      <c r="Q1164" s="3"/>
      <c r="S1164" s="3"/>
      <c r="U1164" s="3"/>
      <c r="V1164" s="3"/>
      <c r="W1164" s="3"/>
      <c r="X1164" s="3"/>
      <c r="Y1164" s="3"/>
    </row>
    <row r="1165" spans="3:25" x14ac:dyDescent="0.2">
      <c r="C1165" s="3"/>
      <c r="E1165" s="3"/>
      <c r="G1165" s="3"/>
      <c r="I1165" s="3"/>
      <c r="K1165" s="3"/>
      <c r="M1165" s="3"/>
      <c r="O1165" s="3"/>
      <c r="Q1165" s="3"/>
      <c r="S1165" s="3"/>
      <c r="U1165" s="3"/>
      <c r="V1165" s="3"/>
      <c r="W1165" s="3"/>
      <c r="X1165" s="3"/>
      <c r="Y1165" s="3"/>
    </row>
    <row r="1166" spans="3:25" x14ac:dyDescent="0.2">
      <c r="C1166" s="3"/>
      <c r="E1166" s="3"/>
      <c r="G1166" s="3"/>
      <c r="I1166" s="3"/>
      <c r="K1166" s="3"/>
      <c r="M1166" s="3"/>
      <c r="O1166" s="3"/>
      <c r="Q1166" s="3"/>
      <c r="S1166" s="3"/>
      <c r="U1166" s="3"/>
      <c r="V1166" s="3"/>
      <c r="W1166" s="3"/>
      <c r="X1166" s="3"/>
      <c r="Y1166" s="3"/>
    </row>
    <row r="1167" spans="3:25" x14ac:dyDescent="0.2">
      <c r="C1167" s="3"/>
      <c r="E1167" s="3"/>
      <c r="G1167" s="3"/>
      <c r="I1167" s="3"/>
      <c r="K1167" s="3"/>
      <c r="M1167" s="3"/>
      <c r="O1167" s="3"/>
      <c r="Q1167" s="3"/>
      <c r="S1167" s="3"/>
      <c r="U1167" s="3"/>
      <c r="V1167" s="3"/>
      <c r="W1167" s="3"/>
      <c r="X1167" s="3"/>
      <c r="Y1167" s="3"/>
    </row>
    <row r="1168" spans="3:25" x14ac:dyDescent="0.2">
      <c r="C1168" s="3"/>
      <c r="E1168" s="3"/>
      <c r="G1168" s="3"/>
      <c r="I1168" s="3"/>
      <c r="K1168" s="3"/>
      <c r="M1168" s="3"/>
      <c r="O1168" s="3"/>
      <c r="Q1168" s="3"/>
      <c r="S1168" s="3"/>
      <c r="U1168" s="3"/>
      <c r="V1168" s="3"/>
      <c r="W1168" s="3"/>
      <c r="X1168" s="3"/>
      <c r="Y1168" s="3"/>
    </row>
    <row r="1169" spans="3:25" x14ac:dyDescent="0.2">
      <c r="C1169" s="3"/>
      <c r="E1169" s="3"/>
      <c r="G1169" s="3"/>
      <c r="I1169" s="3"/>
      <c r="K1169" s="3"/>
      <c r="M1169" s="3"/>
      <c r="O1169" s="3"/>
      <c r="Q1169" s="3"/>
      <c r="S1169" s="3"/>
      <c r="U1169" s="3"/>
      <c r="V1169" s="3"/>
      <c r="W1169" s="3"/>
      <c r="X1169" s="3"/>
      <c r="Y1169" s="3"/>
    </row>
    <row r="1170" spans="3:25" x14ac:dyDescent="0.2">
      <c r="C1170" s="3"/>
      <c r="E1170" s="3"/>
      <c r="G1170" s="3"/>
      <c r="I1170" s="3"/>
      <c r="K1170" s="3"/>
      <c r="M1170" s="3"/>
      <c r="O1170" s="3"/>
      <c r="Q1170" s="3"/>
      <c r="S1170" s="3"/>
      <c r="U1170" s="3"/>
      <c r="V1170" s="3"/>
      <c r="W1170" s="3"/>
      <c r="X1170" s="3"/>
      <c r="Y1170" s="3"/>
    </row>
    <row r="1171" spans="3:25" x14ac:dyDescent="0.2">
      <c r="C1171" s="3"/>
      <c r="E1171" s="3"/>
      <c r="G1171" s="3"/>
      <c r="I1171" s="3"/>
      <c r="K1171" s="3"/>
      <c r="M1171" s="3"/>
      <c r="O1171" s="3"/>
      <c r="Q1171" s="3"/>
      <c r="S1171" s="3"/>
      <c r="U1171" s="3"/>
      <c r="V1171" s="3"/>
      <c r="W1171" s="3"/>
      <c r="X1171" s="3"/>
      <c r="Y1171" s="3"/>
    </row>
    <row r="1172" spans="3:25" x14ac:dyDescent="0.2">
      <c r="C1172" s="3"/>
      <c r="E1172" s="3"/>
      <c r="G1172" s="3"/>
      <c r="I1172" s="3"/>
      <c r="K1172" s="3"/>
      <c r="M1172" s="3"/>
      <c r="O1172" s="3"/>
      <c r="Q1172" s="3"/>
      <c r="S1172" s="3"/>
      <c r="U1172" s="3"/>
      <c r="V1172" s="3"/>
      <c r="W1172" s="3"/>
      <c r="X1172" s="3"/>
      <c r="Y1172" s="3"/>
    </row>
    <row r="1173" spans="3:25" x14ac:dyDescent="0.2">
      <c r="C1173" s="3"/>
      <c r="E1173" s="3"/>
      <c r="G1173" s="3"/>
      <c r="I1173" s="3"/>
      <c r="K1173" s="3"/>
      <c r="M1173" s="3"/>
      <c r="O1173" s="3"/>
      <c r="Q1173" s="3"/>
      <c r="S1173" s="3"/>
      <c r="U1173" s="3"/>
      <c r="V1173" s="3"/>
      <c r="W1173" s="3"/>
      <c r="X1173" s="3"/>
      <c r="Y1173" s="3"/>
    </row>
    <row r="1174" spans="3:25" x14ac:dyDescent="0.2">
      <c r="C1174" s="3"/>
      <c r="E1174" s="3"/>
      <c r="G1174" s="3"/>
      <c r="I1174" s="3"/>
      <c r="K1174" s="3"/>
      <c r="M1174" s="3"/>
      <c r="O1174" s="3"/>
      <c r="Q1174" s="3"/>
      <c r="S1174" s="3"/>
      <c r="U1174" s="3"/>
      <c r="V1174" s="3"/>
      <c r="W1174" s="3"/>
      <c r="X1174" s="3"/>
      <c r="Y1174" s="3"/>
    </row>
    <row r="1175" spans="3:25" x14ac:dyDescent="0.2">
      <c r="C1175" s="3"/>
      <c r="E1175" s="3"/>
      <c r="G1175" s="3"/>
      <c r="I1175" s="3"/>
      <c r="K1175" s="3"/>
      <c r="M1175" s="3"/>
      <c r="O1175" s="3"/>
      <c r="Q1175" s="3"/>
      <c r="S1175" s="3"/>
      <c r="U1175" s="3"/>
      <c r="V1175" s="3"/>
      <c r="W1175" s="3"/>
      <c r="X1175" s="3"/>
      <c r="Y1175" s="3"/>
    </row>
    <row r="1176" spans="3:25" x14ac:dyDescent="0.2">
      <c r="C1176" s="3"/>
      <c r="E1176" s="3"/>
      <c r="G1176" s="3"/>
      <c r="I1176" s="3"/>
      <c r="K1176" s="3"/>
      <c r="M1176" s="3"/>
      <c r="O1176" s="3"/>
      <c r="Q1176" s="3"/>
      <c r="S1176" s="3"/>
      <c r="U1176" s="3"/>
      <c r="V1176" s="3"/>
      <c r="W1176" s="3"/>
      <c r="X1176" s="3"/>
      <c r="Y1176" s="3"/>
    </row>
    <row r="1177" spans="3:25" x14ac:dyDescent="0.2">
      <c r="C1177" s="3"/>
      <c r="E1177" s="3"/>
      <c r="G1177" s="3"/>
      <c r="I1177" s="3"/>
      <c r="K1177" s="3"/>
      <c r="M1177" s="3"/>
      <c r="O1177" s="3"/>
      <c r="Q1177" s="3"/>
      <c r="S1177" s="3"/>
      <c r="U1177" s="3"/>
      <c r="V1177" s="3"/>
      <c r="W1177" s="3"/>
      <c r="X1177" s="3"/>
      <c r="Y1177" s="3"/>
    </row>
    <row r="1178" spans="3:25" x14ac:dyDescent="0.2">
      <c r="C1178" s="3"/>
      <c r="E1178" s="3"/>
      <c r="G1178" s="3"/>
      <c r="I1178" s="3"/>
      <c r="K1178" s="3"/>
      <c r="M1178" s="3"/>
      <c r="O1178" s="3"/>
      <c r="Q1178" s="3"/>
      <c r="S1178" s="3"/>
      <c r="U1178" s="3"/>
      <c r="V1178" s="3"/>
      <c r="W1178" s="3"/>
      <c r="X1178" s="3"/>
      <c r="Y1178" s="3"/>
    </row>
    <row r="1179" spans="3:25" x14ac:dyDescent="0.2">
      <c r="C1179" s="3"/>
      <c r="E1179" s="3"/>
      <c r="G1179" s="3"/>
      <c r="I1179" s="3"/>
      <c r="K1179" s="3"/>
      <c r="M1179" s="3"/>
      <c r="O1179" s="3"/>
      <c r="Q1179" s="3"/>
      <c r="S1179" s="3"/>
      <c r="U1179" s="3"/>
      <c r="V1179" s="3"/>
      <c r="W1179" s="3"/>
      <c r="X1179" s="3"/>
      <c r="Y1179" s="3"/>
    </row>
    <row r="1180" spans="3:25" x14ac:dyDescent="0.2">
      <c r="C1180" s="3"/>
      <c r="E1180" s="3"/>
      <c r="G1180" s="3"/>
      <c r="I1180" s="3"/>
      <c r="K1180" s="3"/>
      <c r="M1180" s="3"/>
      <c r="O1180" s="3"/>
      <c r="Q1180" s="3"/>
      <c r="S1180" s="3"/>
      <c r="U1180" s="3"/>
      <c r="V1180" s="3"/>
      <c r="W1180" s="3"/>
      <c r="X1180" s="3"/>
      <c r="Y1180" s="3"/>
    </row>
    <row r="1181" spans="3:25" x14ac:dyDescent="0.2">
      <c r="C1181" s="3"/>
      <c r="E1181" s="3"/>
      <c r="G1181" s="3"/>
      <c r="I1181" s="3"/>
      <c r="K1181" s="3"/>
      <c r="M1181" s="3"/>
      <c r="O1181" s="3"/>
      <c r="Q1181" s="3"/>
      <c r="S1181" s="3"/>
      <c r="U1181" s="3"/>
      <c r="V1181" s="3"/>
      <c r="W1181" s="3"/>
      <c r="X1181" s="3"/>
      <c r="Y1181" s="3"/>
    </row>
    <row r="1182" spans="3:25" x14ac:dyDescent="0.2">
      <c r="C1182" s="3"/>
      <c r="E1182" s="3"/>
      <c r="G1182" s="3"/>
      <c r="I1182" s="3"/>
      <c r="K1182" s="3"/>
      <c r="M1182" s="3"/>
      <c r="O1182" s="3"/>
      <c r="Q1182" s="3"/>
      <c r="S1182" s="3"/>
      <c r="U1182" s="3"/>
      <c r="V1182" s="3"/>
      <c r="W1182" s="3"/>
      <c r="X1182" s="3"/>
      <c r="Y1182" s="3"/>
    </row>
    <row r="1183" spans="3:25" x14ac:dyDescent="0.2">
      <c r="C1183" s="3"/>
      <c r="E1183" s="3"/>
      <c r="G1183" s="3"/>
      <c r="I1183" s="3"/>
      <c r="K1183" s="3"/>
      <c r="M1183" s="3"/>
      <c r="O1183" s="3"/>
      <c r="Q1183" s="3"/>
      <c r="S1183" s="3"/>
      <c r="U1183" s="3"/>
      <c r="V1183" s="3"/>
      <c r="W1183" s="3"/>
      <c r="X1183" s="3"/>
      <c r="Y1183" s="3"/>
    </row>
    <row r="1184" spans="3:25" x14ac:dyDescent="0.2">
      <c r="C1184" s="3"/>
      <c r="E1184" s="3"/>
      <c r="G1184" s="3"/>
      <c r="I1184" s="3"/>
      <c r="K1184" s="3"/>
      <c r="M1184" s="3"/>
      <c r="O1184" s="3"/>
      <c r="Q1184" s="3"/>
      <c r="S1184" s="3"/>
      <c r="U1184" s="3"/>
      <c r="V1184" s="3"/>
      <c r="W1184" s="3"/>
      <c r="X1184" s="3"/>
      <c r="Y1184" s="3"/>
    </row>
    <row r="1185" spans="3:25" x14ac:dyDescent="0.2">
      <c r="C1185" s="3"/>
      <c r="E1185" s="3"/>
      <c r="G1185" s="3"/>
      <c r="I1185" s="3"/>
      <c r="K1185" s="3"/>
      <c r="M1185" s="3"/>
      <c r="O1185" s="3"/>
      <c r="Q1185" s="3"/>
      <c r="S1185" s="3"/>
      <c r="U1185" s="3"/>
      <c r="V1185" s="3"/>
      <c r="W1185" s="3"/>
      <c r="X1185" s="3"/>
      <c r="Y1185" s="3"/>
    </row>
    <row r="1186" spans="3:25" x14ac:dyDescent="0.2">
      <c r="C1186" s="3"/>
      <c r="E1186" s="3"/>
      <c r="G1186" s="3"/>
      <c r="I1186" s="3"/>
      <c r="K1186" s="3"/>
      <c r="M1186" s="3"/>
      <c r="O1186" s="3"/>
      <c r="Q1186" s="3"/>
      <c r="S1186" s="3"/>
      <c r="U1186" s="3"/>
      <c r="V1186" s="3"/>
      <c r="W1186" s="3"/>
      <c r="X1186" s="3"/>
      <c r="Y1186" s="3"/>
    </row>
    <row r="1187" spans="3:25" x14ac:dyDescent="0.2">
      <c r="C1187" s="3"/>
      <c r="E1187" s="3"/>
      <c r="G1187" s="3"/>
      <c r="I1187" s="3"/>
      <c r="K1187" s="3"/>
      <c r="M1187" s="3"/>
      <c r="O1187" s="3"/>
      <c r="Q1187" s="3"/>
      <c r="S1187" s="3"/>
      <c r="U1187" s="3"/>
      <c r="V1187" s="3"/>
      <c r="W1187" s="3"/>
      <c r="X1187" s="3"/>
      <c r="Y1187" s="3"/>
    </row>
    <row r="1188" spans="3:25" x14ac:dyDescent="0.2">
      <c r="C1188" s="3"/>
      <c r="E1188" s="3"/>
      <c r="G1188" s="3"/>
      <c r="I1188" s="3"/>
      <c r="K1188" s="3"/>
      <c r="M1188" s="3"/>
      <c r="O1188" s="3"/>
      <c r="Q1188" s="3"/>
      <c r="S1188" s="3"/>
      <c r="U1188" s="3"/>
      <c r="V1188" s="3"/>
      <c r="W1188" s="3"/>
      <c r="X1188" s="3"/>
      <c r="Y1188" s="3"/>
    </row>
    <row r="1189" spans="3:25" x14ac:dyDescent="0.2">
      <c r="C1189" s="3"/>
      <c r="E1189" s="3"/>
      <c r="G1189" s="3"/>
      <c r="I1189" s="3"/>
      <c r="K1189" s="3"/>
      <c r="M1189" s="3"/>
      <c r="O1189" s="3"/>
      <c r="Q1189" s="3"/>
      <c r="S1189" s="3"/>
      <c r="U1189" s="3"/>
      <c r="V1189" s="3"/>
      <c r="W1189" s="3"/>
      <c r="X1189" s="3"/>
      <c r="Y1189" s="3"/>
    </row>
    <row r="1190" spans="3:25" x14ac:dyDescent="0.2">
      <c r="C1190" s="3"/>
      <c r="E1190" s="3"/>
      <c r="G1190" s="3"/>
      <c r="I1190" s="3"/>
      <c r="K1190" s="3"/>
      <c r="M1190" s="3"/>
      <c r="O1190" s="3"/>
      <c r="Q1190" s="3"/>
      <c r="S1190" s="3"/>
      <c r="U1190" s="3"/>
      <c r="V1190" s="3"/>
      <c r="W1190" s="3"/>
      <c r="X1190" s="3"/>
      <c r="Y1190" s="3"/>
    </row>
    <row r="1191" spans="3:25" x14ac:dyDescent="0.2">
      <c r="C1191" s="3"/>
      <c r="E1191" s="3"/>
      <c r="G1191" s="3"/>
      <c r="I1191" s="3"/>
      <c r="K1191" s="3"/>
      <c r="M1191" s="3"/>
      <c r="O1191" s="3"/>
      <c r="Q1191" s="3"/>
      <c r="S1191" s="3"/>
      <c r="U1191" s="3"/>
      <c r="V1191" s="3"/>
      <c r="W1191" s="3"/>
      <c r="X1191" s="3"/>
      <c r="Y1191" s="3"/>
    </row>
    <row r="1192" spans="3:25" x14ac:dyDescent="0.2">
      <c r="C1192" s="3"/>
      <c r="E1192" s="3"/>
      <c r="G1192" s="3"/>
      <c r="I1192" s="3"/>
      <c r="K1192" s="3"/>
      <c r="M1192" s="3"/>
      <c r="O1192" s="3"/>
      <c r="Q1192" s="3"/>
      <c r="S1192" s="3"/>
      <c r="U1192" s="3"/>
      <c r="V1192" s="3"/>
      <c r="W1192" s="3"/>
      <c r="X1192" s="3"/>
      <c r="Y1192" s="3"/>
    </row>
    <row r="1193" spans="3:25" x14ac:dyDescent="0.2">
      <c r="C1193" s="3"/>
      <c r="E1193" s="3"/>
      <c r="G1193" s="3"/>
      <c r="I1193" s="3"/>
      <c r="K1193" s="3"/>
      <c r="M1193" s="3"/>
      <c r="O1193" s="3"/>
      <c r="Q1193" s="3"/>
      <c r="S1193" s="3"/>
      <c r="U1193" s="3"/>
      <c r="V1193" s="3"/>
      <c r="W1193" s="3"/>
      <c r="X1193" s="3"/>
      <c r="Y1193" s="3"/>
    </row>
    <row r="1194" spans="3:25" x14ac:dyDescent="0.2">
      <c r="C1194" s="3"/>
      <c r="E1194" s="3"/>
      <c r="G1194" s="3"/>
      <c r="I1194" s="3"/>
      <c r="K1194" s="3"/>
      <c r="M1194" s="3"/>
      <c r="O1194" s="3"/>
      <c r="Q1194" s="3"/>
      <c r="S1194" s="3"/>
      <c r="U1194" s="3"/>
      <c r="V1194" s="3"/>
      <c r="W1194" s="3"/>
      <c r="X1194" s="3"/>
      <c r="Y1194" s="3"/>
    </row>
    <row r="1195" spans="3:25" x14ac:dyDescent="0.2">
      <c r="C1195" s="3"/>
      <c r="E1195" s="3"/>
      <c r="G1195" s="3"/>
      <c r="I1195" s="3"/>
      <c r="K1195" s="3"/>
      <c r="M1195" s="3"/>
      <c r="O1195" s="3"/>
      <c r="Q1195" s="3"/>
      <c r="S1195" s="3"/>
      <c r="U1195" s="3"/>
      <c r="V1195" s="3"/>
      <c r="W1195" s="3"/>
      <c r="X1195" s="3"/>
      <c r="Y1195" s="3"/>
    </row>
    <row r="1196" spans="3:25" x14ac:dyDescent="0.2">
      <c r="C1196" s="3"/>
      <c r="E1196" s="3"/>
      <c r="G1196" s="3"/>
      <c r="I1196" s="3"/>
      <c r="K1196" s="3"/>
      <c r="M1196" s="3"/>
      <c r="O1196" s="3"/>
      <c r="Q1196" s="3"/>
      <c r="S1196" s="3"/>
      <c r="U1196" s="3"/>
      <c r="V1196" s="3"/>
      <c r="W1196" s="3"/>
      <c r="X1196" s="3"/>
      <c r="Y1196" s="3"/>
    </row>
    <row r="1197" spans="3:25" x14ac:dyDescent="0.2">
      <c r="C1197" s="3"/>
      <c r="E1197" s="3"/>
      <c r="G1197" s="3"/>
      <c r="I1197" s="3"/>
      <c r="K1197" s="3"/>
      <c r="M1197" s="3"/>
      <c r="O1197" s="3"/>
      <c r="Q1197" s="3"/>
      <c r="S1197" s="3"/>
      <c r="U1197" s="3"/>
      <c r="V1197" s="3"/>
      <c r="W1197" s="3"/>
      <c r="X1197" s="3"/>
      <c r="Y1197" s="3"/>
    </row>
    <row r="1198" spans="3:25" x14ac:dyDescent="0.2">
      <c r="C1198" s="3"/>
      <c r="E1198" s="3"/>
      <c r="G1198" s="3"/>
      <c r="I1198" s="3"/>
      <c r="K1198" s="3"/>
      <c r="M1198" s="3"/>
      <c r="O1198" s="3"/>
      <c r="Q1198" s="3"/>
      <c r="S1198" s="3"/>
      <c r="U1198" s="3"/>
      <c r="V1198" s="3"/>
      <c r="W1198" s="3"/>
      <c r="X1198" s="3"/>
      <c r="Y1198" s="3"/>
    </row>
    <row r="1199" spans="3:25" x14ac:dyDescent="0.2">
      <c r="C1199" s="3"/>
      <c r="E1199" s="3"/>
      <c r="G1199" s="3"/>
      <c r="I1199" s="3"/>
      <c r="K1199" s="3"/>
      <c r="M1199" s="3"/>
      <c r="O1199" s="3"/>
      <c r="Q1199" s="3"/>
      <c r="S1199" s="3"/>
      <c r="U1199" s="3"/>
      <c r="V1199" s="3"/>
      <c r="W1199" s="3"/>
      <c r="X1199" s="3"/>
      <c r="Y1199" s="3"/>
    </row>
    <row r="1200" spans="3:25" x14ac:dyDescent="0.2">
      <c r="C1200" s="3"/>
      <c r="E1200" s="3"/>
      <c r="G1200" s="3"/>
      <c r="I1200" s="3"/>
      <c r="K1200" s="3"/>
      <c r="M1200" s="3"/>
      <c r="O1200" s="3"/>
      <c r="Q1200" s="3"/>
      <c r="S1200" s="3"/>
      <c r="U1200" s="3"/>
      <c r="V1200" s="3"/>
      <c r="W1200" s="3"/>
      <c r="X1200" s="3"/>
      <c r="Y1200" s="3"/>
    </row>
    <row r="1201" spans="3:25" x14ac:dyDescent="0.2">
      <c r="C1201" s="3"/>
      <c r="E1201" s="3"/>
      <c r="G1201" s="3"/>
      <c r="I1201" s="3"/>
      <c r="K1201" s="3"/>
      <c r="M1201" s="3"/>
      <c r="O1201" s="3"/>
      <c r="Q1201" s="3"/>
      <c r="S1201" s="3"/>
      <c r="U1201" s="3"/>
      <c r="V1201" s="3"/>
      <c r="W1201" s="3"/>
      <c r="X1201" s="3"/>
      <c r="Y1201" s="3"/>
    </row>
    <row r="1202" spans="3:25" x14ac:dyDescent="0.2">
      <c r="C1202" s="3"/>
      <c r="E1202" s="3"/>
      <c r="G1202" s="3"/>
      <c r="I1202" s="3"/>
      <c r="K1202" s="3"/>
      <c r="M1202" s="3"/>
      <c r="O1202" s="3"/>
      <c r="Q1202" s="3"/>
      <c r="S1202" s="3"/>
      <c r="U1202" s="3"/>
      <c r="V1202" s="3"/>
      <c r="W1202" s="3"/>
      <c r="X1202" s="3"/>
      <c r="Y1202" s="3"/>
    </row>
    <row r="1203" spans="3:25" x14ac:dyDescent="0.2">
      <c r="C1203" s="3"/>
      <c r="E1203" s="3"/>
      <c r="G1203" s="3"/>
      <c r="I1203" s="3"/>
      <c r="K1203" s="3"/>
      <c r="M1203" s="3"/>
      <c r="O1203" s="3"/>
      <c r="Q1203" s="3"/>
      <c r="S1203" s="3"/>
      <c r="U1203" s="3"/>
      <c r="V1203" s="3"/>
      <c r="W1203" s="3"/>
      <c r="X1203" s="3"/>
      <c r="Y1203" s="3"/>
    </row>
    <row r="1204" spans="3:25" x14ac:dyDescent="0.2">
      <c r="C1204" s="3"/>
      <c r="E1204" s="3"/>
      <c r="G1204" s="3"/>
      <c r="I1204" s="3"/>
      <c r="K1204" s="3"/>
      <c r="M1204" s="3"/>
      <c r="O1204" s="3"/>
      <c r="Q1204" s="3"/>
      <c r="S1204" s="3"/>
      <c r="U1204" s="3"/>
      <c r="V1204" s="3"/>
      <c r="W1204" s="3"/>
      <c r="X1204" s="3"/>
      <c r="Y1204" s="3"/>
    </row>
    <row r="1205" spans="3:25" x14ac:dyDescent="0.2">
      <c r="C1205" s="3"/>
      <c r="E1205" s="3"/>
      <c r="G1205" s="3"/>
      <c r="I1205" s="3"/>
      <c r="K1205" s="3"/>
      <c r="M1205" s="3"/>
      <c r="O1205" s="3"/>
      <c r="Q1205" s="3"/>
      <c r="S1205" s="3"/>
      <c r="U1205" s="3"/>
      <c r="V1205" s="3"/>
      <c r="W1205" s="3"/>
      <c r="X1205" s="3"/>
      <c r="Y1205" s="3"/>
    </row>
    <row r="1206" spans="3:25" x14ac:dyDescent="0.2">
      <c r="C1206" s="3"/>
      <c r="E1206" s="3"/>
      <c r="G1206" s="3"/>
      <c r="I1206" s="3"/>
      <c r="K1206" s="3"/>
      <c r="M1206" s="3"/>
      <c r="O1206" s="3"/>
      <c r="Q1206" s="3"/>
      <c r="S1206" s="3"/>
      <c r="U1206" s="3"/>
      <c r="V1206" s="3"/>
      <c r="W1206" s="3"/>
      <c r="X1206" s="3"/>
      <c r="Y1206" s="3"/>
    </row>
    <row r="1207" spans="3:25" x14ac:dyDescent="0.2">
      <c r="C1207" s="3"/>
      <c r="E1207" s="3"/>
      <c r="G1207" s="3"/>
      <c r="I1207" s="3"/>
      <c r="K1207" s="3"/>
      <c r="M1207" s="3"/>
      <c r="O1207" s="3"/>
      <c r="Q1207" s="3"/>
      <c r="S1207" s="3"/>
      <c r="U1207" s="3"/>
      <c r="V1207" s="3"/>
      <c r="W1207" s="3"/>
      <c r="X1207" s="3"/>
      <c r="Y1207" s="3"/>
    </row>
    <row r="1208" spans="3:25" x14ac:dyDescent="0.2">
      <c r="C1208" s="3"/>
      <c r="E1208" s="3"/>
      <c r="G1208" s="3"/>
      <c r="I1208" s="3"/>
      <c r="K1208" s="3"/>
      <c r="M1208" s="3"/>
      <c r="O1208" s="3"/>
      <c r="Q1208" s="3"/>
      <c r="S1208" s="3"/>
      <c r="U1208" s="3"/>
      <c r="V1208" s="3"/>
      <c r="W1208" s="3"/>
      <c r="X1208" s="3"/>
      <c r="Y1208" s="3"/>
    </row>
    <row r="1209" spans="3:25" x14ac:dyDescent="0.2">
      <c r="C1209" s="3"/>
      <c r="E1209" s="3"/>
      <c r="G1209" s="3"/>
      <c r="I1209" s="3"/>
      <c r="K1209" s="3"/>
      <c r="M1209" s="3"/>
      <c r="O1209" s="3"/>
      <c r="Q1209" s="3"/>
      <c r="S1209" s="3"/>
      <c r="U1209" s="3"/>
      <c r="V1209" s="3"/>
      <c r="W1209" s="3"/>
      <c r="X1209" s="3"/>
      <c r="Y1209" s="3"/>
    </row>
    <row r="1210" spans="3:25" x14ac:dyDescent="0.2">
      <c r="C1210" s="3"/>
      <c r="E1210" s="3"/>
      <c r="G1210" s="3"/>
      <c r="I1210" s="3"/>
      <c r="K1210" s="3"/>
      <c r="M1210" s="3"/>
      <c r="O1210" s="3"/>
      <c r="Q1210" s="3"/>
      <c r="S1210" s="3"/>
      <c r="U1210" s="3"/>
      <c r="V1210" s="3"/>
      <c r="W1210" s="3"/>
      <c r="X1210" s="3"/>
      <c r="Y1210" s="3"/>
    </row>
    <row r="1211" spans="3:25" x14ac:dyDescent="0.2">
      <c r="C1211" s="3"/>
      <c r="E1211" s="3"/>
      <c r="G1211" s="3"/>
      <c r="I1211" s="3"/>
      <c r="K1211" s="3"/>
      <c r="M1211" s="3"/>
      <c r="O1211" s="3"/>
      <c r="Q1211" s="3"/>
      <c r="S1211" s="3"/>
      <c r="U1211" s="3"/>
      <c r="V1211" s="3"/>
      <c r="W1211" s="3"/>
      <c r="X1211" s="3"/>
      <c r="Y1211" s="3"/>
    </row>
    <row r="1212" spans="3:25" x14ac:dyDescent="0.2">
      <c r="C1212" s="3"/>
      <c r="E1212" s="3"/>
      <c r="G1212" s="3"/>
      <c r="I1212" s="3"/>
      <c r="K1212" s="3"/>
      <c r="M1212" s="3"/>
      <c r="O1212" s="3"/>
      <c r="Q1212" s="3"/>
      <c r="S1212" s="3"/>
      <c r="U1212" s="3"/>
      <c r="V1212" s="3"/>
      <c r="W1212" s="3"/>
      <c r="X1212" s="3"/>
      <c r="Y1212" s="3"/>
    </row>
    <row r="1213" spans="3:25" x14ac:dyDescent="0.2">
      <c r="C1213" s="3"/>
      <c r="E1213" s="3"/>
      <c r="G1213" s="3"/>
      <c r="I1213" s="3"/>
      <c r="K1213" s="3"/>
      <c r="M1213" s="3"/>
      <c r="O1213" s="3"/>
      <c r="Q1213" s="3"/>
      <c r="S1213" s="3"/>
      <c r="U1213" s="3"/>
      <c r="V1213" s="3"/>
      <c r="W1213" s="3"/>
      <c r="X1213" s="3"/>
      <c r="Y1213" s="3"/>
    </row>
    <row r="1214" spans="3:25" x14ac:dyDescent="0.2">
      <c r="C1214" s="3"/>
      <c r="E1214" s="3"/>
      <c r="G1214" s="3"/>
      <c r="I1214" s="3"/>
      <c r="K1214" s="3"/>
      <c r="M1214" s="3"/>
      <c r="O1214" s="3"/>
      <c r="Q1214" s="3"/>
      <c r="S1214" s="3"/>
      <c r="U1214" s="3"/>
      <c r="V1214" s="3"/>
      <c r="W1214" s="3"/>
      <c r="X1214" s="3"/>
      <c r="Y1214" s="3"/>
    </row>
    <row r="1215" spans="3:25" x14ac:dyDescent="0.2">
      <c r="C1215" s="3"/>
      <c r="E1215" s="3"/>
      <c r="G1215" s="3"/>
      <c r="I1215" s="3"/>
      <c r="K1215" s="3"/>
      <c r="M1215" s="3"/>
      <c r="O1215" s="3"/>
      <c r="Q1215" s="3"/>
      <c r="S1215" s="3"/>
      <c r="U1215" s="3"/>
      <c r="V1215" s="3"/>
      <c r="W1215" s="3"/>
      <c r="X1215" s="3"/>
      <c r="Y1215" s="3"/>
    </row>
    <row r="1216" spans="3:25" x14ac:dyDescent="0.2">
      <c r="C1216" s="3"/>
      <c r="E1216" s="3"/>
      <c r="G1216" s="3"/>
      <c r="I1216" s="3"/>
      <c r="K1216" s="3"/>
      <c r="M1216" s="3"/>
      <c r="O1216" s="3"/>
      <c r="Q1216" s="3"/>
      <c r="S1216" s="3"/>
      <c r="U1216" s="3"/>
      <c r="V1216" s="3"/>
      <c r="W1216" s="3"/>
      <c r="X1216" s="3"/>
      <c r="Y1216" s="3"/>
    </row>
    <row r="1217" spans="3:25" x14ac:dyDescent="0.2">
      <c r="C1217" s="3"/>
      <c r="E1217" s="3"/>
      <c r="G1217" s="3"/>
      <c r="I1217" s="3"/>
      <c r="K1217" s="3"/>
      <c r="M1217" s="3"/>
      <c r="O1217" s="3"/>
      <c r="Q1217" s="3"/>
      <c r="S1217" s="3"/>
      <c r="U1217" s="3"/>
      <c r="V1217" s="3"/>
      <c r="W1217" s="3"/>
      <c r="X1217" s="3"/>
      <c r="Y1217" s="3"/>
    </row>
    <row r="1218" spans="3:25" x14ac:dyDescent="0.2">
      <c r="C1218" s="3"/>
      <c r="E1218" s="3"/>
      <c r="G1218" s="3"/>
      <c r="I1218" s="3"/>
      <c r="K1218" s="3"/>
      <c r="M1218" s="3"/>
      <c r="O1218" s="3"/>
      <c r="Q1218" s="3"/>
      <c r="S1218" s="3"/>
      <c r="U1218" s="3"/>
      <c r="V1218" s="3"/>
      <c r="W1218" s="3"/>
      <c r="X1218" s="3"/>
      <c r="Y1218" s="3"/>
    </row>
    <row r="1219" spans="3:25" x14ac:dyDescent="0.2">
      <c r="C1219" s="3"/>
      <c r="E1219" s="3"/>
      <c r="G1219" s="3"/>
      <c r="I1219" s="3"/>
      <c r="K1219" s="3"/>
      <c r="M1219" s="3"/>
      <c r="O1219" s="3"/>
      <c r="Q1219" s="3"/>
      <c r="S1219" s="3"/>
      <c r="U1219" s="3"/>
      <c r="V1219" s="3"/>
      <c r="W1219" s="3"/>
      <c r="X1219" s="3"/>
      <c r="Y1219" s="3"/>
    </row>
    <row r="1220" spans="3:25" x14ac:dyDescent="0.2">
      <c r="C1220" s="3"/>
      <c r="E1220" s="3"/>
      <c r="G1220" s="3"/>
      <c r="I1220" s="3"/>
      <c r="K1220" s="3"/>
      <c r="M1220" s="3"/>
      <c r="O1220" s="3"/>
      <c r="Q1220" s="3"/>
      <c r="S1220" s="3"/>
      <c r="U1220" s="3"/>
      <c r="V1220" s="3"/>
      <c r="W1220" s="3"/>
      <c r="X1220" s="3"/>
      <c r="Y1220" s="3"/>
    </row>
    <row r="1221" spans="3:25" x14ac:dyDescent="0.2">
      <c r="C1221" s="3"/>
      <c r="E1221" s="3"/>
      <c r="G1221" s="3"/>
      <c r="I1221" s="3"/>
      <c r="K1221" s="3"/>
      <c r="M1221" s="3"/>
      <c r="O1221" s="3"/>
      <c r="Q1221" s="3"/>
      <c r="S1221" s="3"/>
      <c r="U1221" s="3"/>
      <c r="V1221" s="3"/>
      <c r="W1221" s="3"/>
      <c r="X1221" s="3"/>
      <c r="Y1221" s="3"/>
    </row>
    <row r="1222" spans="3:25" x14ac:dyDescent="0.2">
      <c r="C1222" s="3"/>
      <c r="E1222" s="3"/>
      <c r="G1222" s="3"/>
      <c r="I1222" s="3"/>
      <c r="K1222" s="3"/>
      <c r="M1222" s="3"/>
      <c r="O1222" s="3"/>
      <c r="Q1222" s="3"/>
      <c r="S1222" s="3"/>
      <c r="U1222" s="3"/>
      <c r="V1222" s="3"/>
      <c r="W1222" s="3"/>
      <c r="X1222" s="3"/>
      <c r="Y1222" s="3"/>
    </row>
    <row r="1223" spans="3:25" x14ac:dyDescent="0.2">
      <c r="C1223" s="3"/>
      <c r="E1223" s="3"/>
      <c r="G1223" s="3"/>
      <c r="I1223" s="3"/>
      <c r="K1223" s="3"/>
      <c r="M1223" s="3"/>
      <c r="O1223" s="3"/>
      <c r="Q1223" s="3"/>
      <c r="S1223" s="3"/>
      <c r="U1223" s="3"/>
      <c r="V1223" s="3"/>
      <c r="W1223" s="3"/>
      <c r="X1223" s="3"/>
      <c r="Y1223" s="3"/>
    </row>
    <row r="1224" spans="3:25" x14ac:dyDescent="0.2">
      <c r="C1224" s="3"/>
      <c r="E1224" s="3"/>
      <c r="G1224" s="3"/>
      <c r="I1224" s="3"/>
      <c r="K1224" s="3"/>
      <c r="M1224" s="3"/>
      <c r="O1224" s="3"/>
      <c r="Q1224" s="3"/>
      <c r="S1224" s="3"/>
      <c r="U1224" s="3"/>
      <c r="V1224" s="3"/>
      <c r="W1224" s="3"/>
      <c r="X1224" s="3"/>
      <c r="Y1224" s="3"/>
    </row>
    <row r="1225" spans="3:25" x14ac:dyDescent="0.2">
      <c r="C1225" s="3"/>
      <c r="E1225" s="3"/>
      <c r="G1225" s="3"/>
      <c r="I1225" s="3"/>
      <c r="K1225" s="3"/>
      <c r="M1225" s="3"/>
      <c r="O1225" s="3"/>
      <c r="Q1225" s="3"/>
      <c r="S1225" s="3"/>
      <c r="U1225" s="3"/>
      <c r="V1225" s="3"/>
      <c r="W1225" s="3"/>
      <c r="X1225" s="3"/>
      <c r="Y1225" s="3"/>
    </row>
    <row r="1226" spans="3:25" x14ac:dyDescent="0.2">
      <c r="C1226" s="3"/>
      <c r="E1226" s="3"/>
      <c r="G1226" s="3"/>
      <c r="I1226" s="3"/>
      <c r="K1226" s="3"/>
      <c r="M1226" s="3"/>
      <c r="O1226" s="3"/>
      <c r="Q1226" s="3"/>
      <c r="S1226" s="3"/>
      <c r="U1226" s="3"/>
      <c r="V1226" s="3"/>
      <c r="W1226" s="3"/>
      <c r="X1226" s="3"/>
      <c r="Y1226" s="3"/>
    </row>
    <row r="1227" spans="3:25" x14ac:dyDescent="0.2">
      <c r="C1227" s="3"/>
      <c r="E1227" s="3"/>
      <c r="G1227" s="3"/>
      <c r="I1227" s="3"/>
      <c r="K1227" s="3"/>
      <c r="M1227" s="3"/>
      <c r="O1227" s="3"/>
      <c r="Q1227" s="3"/>
      <c r="S1227" s="3"/>
      <c r="U1227" s="3"/>
      <c r="V1227" s="3"/>
      <c r="W1227" s="3"/>
      <c r="X1227" s="3"/>
      <c r="Y1227" s="3"/>
    </row>
    <row r="1228" spans="3:25" x14ac:dyDescent="0.2">
      <c r="C1228" s="3"/>
      <c r="E1228" s="3"/>
      <c r="G1228" s="3"/>
      <c r="I1228" s="3"/>
      <c r="K1228" s="3"/>
      <c r="M1228" s="3"/>
      <c r="O1228" s="3"/>
      <c r="Q1228" s="3"/>
      <c r="S1228" s="3"/>
      <c r="U1228" s="3"/>
      <c r="V1228" s="3"/>
      <c r="W1228" s="3"/>
      <c r="X1228" s="3"/>
      <c r="Y1228" s="3"/>
    </row>
    <row r="1229" spans="3:25" x14ac:dyDescent="0.2">
      <c r="C1229" s="3"/>
      <c r="E1229" s="3"/>
      <c r="G1229" s="3"/>
      <c r="I1229" s="3"/>
      <c r="K1229" s="3"/>
      <c r="M1229" s="3"/>
      <c r="O1229" s="3"/>
      <c r="Q1229" s="3"/>
      <c r="S1229" s="3"/>
      <c r="U1229" s="3"/>
      <c r="V1229" s="3"/>
      <c r="W1229" s="3"/>
      <c r="X1229" s="3"/>
      <c r="Y1229" s="3"/>
    </row>
    <row r="1230" spans="3:25" x14ac:dyDescent="0.2">
      <c r="C1230" s="3"/>
      <c r="E1230" s="3"/>
      <c r="G1230" s="3"/>
      <c r="I1230" s="3"/>
      <c r="K1230" s="3"/>
      <c r="M1230" s="3"/>
      <c r="O1230" s="3"/>
      <c r="Q1230" s="3"/>
      <c r="S1230" s="3"/>
      <c r="U1230" s="3"/>
      <c r="V1230" s="3"/>
      <c r="W1230" s="3"/>
      <c r="X1230" s="3"/>
      <c r="Y1230" s="3"/>
    </row>
    <row r="1231" spans="3:25" x14ac:dyDescent="0.2">
      <c r="C1231" s="3"/>
      <c r="E1231" s="3"/>
      <c r="G1231" s="3"/>
      <c r="I1231" s="3"/>
      <c r="K1231" s="3"/>
      <c r="M1231" s="3"/>
      <c r="O1231" s="3"/>
      <c r="Q1231" s="3"/>
      <c r="S1231" s="3"/>
      <c r="U1231" s="3"/>
      <c r="V1231" s="3"/>
      <c r="W1231" s="3"/>
      <c r="X1231" s="3"/>
      <c r="Y1231" s="3"/>
    </row>
    <row r="1232" spans="3:25" x14ac:dyDescent="0.2">
      <c r="C1232" s="3"/>
      <c r="E1232" s="3"/>
      <c r="G1232" s="3"/>
      <c r="I1232" s="3"/>
      <c r="K1232" s="3"/>
      <c r="M1232" s="3"/>
      <c r="O1232" s="3"/>
      <c r="Q1232" s="3"/>
      <c r="S1232" s="3"/>
      <c r="U1232" s="3"/>
      <c r="V1232" s="3"/>
      <c r="W1232" s="3"/>
      <c r="X1232" s="3"/>
      <c r="Y1232" s="3"/>
    </row>
    <row r="1233" spans="3:25" x14ac:dyDescent="0.2">
      <c r="C1233" s="3"/>
      <c r="E1233" s="3"/>
      <c r="G1233" s="3"/>
      <c r="I1233" s="3"/>
      <c r="K1233" s="3"/>
      <c r="M1233" s="3"/>
      <c r="O1233" s="3"/>
      <c r="Q1233" s="3"/>
      <c r="S1233" s="3"/>
      <c r="U1233" s="3"/>
      <c r="V1233" s="3"/>
      <c r="W1233" s="3"/>
      <c r="X1233" s="3"/>
      <c r="Y1233" s="3"/>
    </row>
    <row r="1234" spans="3:25" x14ac:dyDescent="0.2">
      <c r="C1234" s="3"/>
      <c r="E1234" s="3"/>
      <c r="G1234" s="3"/>
      <c r="I1234" s="3"/>
      <c r="K1234" s="3"/>
      <c r="M1234" s="3"/>
      <c r="O1234" s="3"/>
      <c r="Q1234" s="3"/>
      <c r="S1234" s="3"/>
      <c r="U1234" s="3"/>
      <c r="V1234" s="3"/>
      <c r="W1234" s="3"/>
      <c r="X1234" s="3"/>
      <c r="Y1234" s="3"/>
    </row>
    <row r="1235" spans="3:25" x14ac:dyDescent="0.2">
      <c r="C1235" s="3"/>
      <c r="E1235" s="3"/>
      <c r="G1235" s="3"/>
      <c r="I1235" s="3"/>
      <c r="K1235" s="3"/>
      <c r="M1235" s="3"/>
      <c r="O1235" s="3"/>
      <c r="Q1235" s="3"/>
      <c r="S1235" s="3"/>
      <c r="U1235" s="3"/>
      <c r="V1235" s="3"/>
      <c r="W1235" s="3"/>
      <c r="X1235" s="3"/>
      <c r="Y1235" s="3"/>
    </row>
    <row r="1236" spans="3:25" x14ac:dyDescent="0.2">
      <c r="C1236" s="3"/>
      <c r="E1236" s="3"/>
      <c r="G1236" s="3"/>
      <c r="I1236" s="3"/>
      <c r="K1236" s="3"/>
      <c r="M1236" s="3"/>
      <c r="O1236" s="3"/>
      <c r="Q1236" s="3"/>
      <c r="S1236" s="3"/>
      <c r="U1236" s="3"/>
      <c r="V1236" s="3"/>
      <c r="W1236" s="3"/>
      <c r="X1236" s="3"/>
      <c r="Y1236" s="3"/>
    </row>
    <row r="1237" spans="3:25" x14ac:dyDescent="0.2">
      <c r="C1237" s="3"/>
      <c r="E1237" s="3"/>
      <c r="G1237" s="3"/>
      <c r="I1237" s="3"/>
      <c r="K1237" s="3"/>
      <c r="M1237" s="3"/>
      <c r="O1237" s="3"/>
      <c r="Q1237" s="3"/>
      <c r="S1237" s="3"/>
      <c r="U1237" s="3"/>
      <c r="V1237" s="3"/>
      <c r="W1237" s="3"/>
      <c r="X1237" s="3"/>
      <c r="Y1237" s="3"/>
    </row>
    <row r="1238" spans="3:25" x14ac:dyDescent="0.2">
      <c r="C1238" s="3"/>
      <c r="E1238" s="3"/>
      <c r="G1238" s="3"/>
      <c r="I1238" s="3"/>
      <c r="K1238" s="3"/>
      <c r="M1238" s="3"/>
      <c r="O1238" s="3"/>
      <c r="Q1238" s="3"/>
      <c r="S1238" s="3"/>
      <c r="U1238" s="3"/>
      <c r="V1238" s="3"/>
      <c r="W1238" s="3"/>
      <c r="X1238" s="3"/>
      <c r="Y1238" s="3"/>
    </row>
    <row r="1239" spans="3:25" x14ac:dyDescent="0.2">
      <c r="C1239" s="3"/>
      <c r="E1239" s="3"/>
      <c r="G1239" s="3"/>
      <c r="I1239" s="3"/>
      <c r="K1239" s="3"/>
      <c r="M1239" s="3"/>
      <c r="O1239" s="3"/>
      <c r="Q1239" s="3"/>
      <c r="S1239" s="3"/>
      <c r="U1239" s="3"/>
      <c r="V1239" s="3"/>
      <c r="W1239" s="3"/>
      <c r="X1239" s="3"/>
      <c r="Y1239" s="3"/>
    </row>
    <row r="1240" spans="3:25" x14ac:dyDescent="0.2">
      <c r="C1240" s="3"/>
      <c r="E1240" s="3"/>
      <c r="G1240" s="3"/>
      <c r="I1240" s="3"/>
      <c r="K1240" s="3"/>
      <c r="M1240" s="3"/>
      <c r="O1240" s="3"/>
      <c r="Q1240" s="3"/>
      <c r="S1240" s="3"/>
      <c r="U1240" s="3"/>
      <c r="V1240" s="3"/>
      <c r="W1240" s="3"/>
      <c r="X1240" s="3"/>
      <c r="Y1240" s="3"/>
    </row>
    <row r="1241" spans="3:25" x14ac:dyDescent="0.2">
      <c r="C1241" s="3"/>
      <c r="E1241" s="3"/>
      <c r="G1241" s="3"/>
      <c r="I1241" s="3"/>
      <c r="K1241" s="3"/>
      <c r="M1241" s="3"/>
      <c r="O1241" s="3"/>
      <c r="Q1241" s="3"/>
      <c r="S1241" s="3"/>
      <c r="U1241" s="3"/>
      <c r="V1241" s="3"/>
      <c r="W1241" s="3"/>
      <c r="X1241" s="3"/>
      <c r="Y1241" s="3"/>
    </row>
    <row r="1242" spans="3:25" x14ac:dyDescent="0.2">
      <c r="C1242" s="3"/>
      <c r="E1242" s="3"/>
      <c r="G1242" s="3"/>
      <c r="I1242" s="3"/>
      <c r="K1242" s="3"/>
      <c r="M1242" s="3"/>
      <c r="O1242" s="3"/>
      <c r="Q1242" s="3"/>
      <c r="S1242" s="3"/>
      <c r="U1242" s="3"/>
      <c r="V1242" s="3"/>
      <c r="W1242" s="3"/>
      <c r="X1242" s="3"/>
      <c r="Y1242" s="3"/>
    </row>
    <row r="1243" spans="3:25" x14ac:dyDescent="0.2">
      <c r="C1243" s="3"/>
      <c r="E1243" s="3"/>
      <c r="G1243" s="3"/>
      <c r="I1243" s="3"/>
      <c r="K1243" s="3"/>
      <c r="M1243" s="3"/>
      <c r="O1243" s="3"/>
      <c r="Q1243" s="3"/>
      <c r="S1243" s="3"/>
      <c r="U1243" s="3"/>
      <c r="V1243" s="3"/>
      <c r="W1243" s="3"/>
      <c r="X1243" s="3"/>
      <c r="Y1243" s="3"/>
    </row>
    <row r="1244" spans="3:25" x14ac:dyDescent="0.2">
      <c r="C1244" s="3"/>
      <c r="E1244" s="3"/>
      <c r="G1244" s="3"/>
      <c r="I1244" s="3"/>
      <c r="K1244" s="3"/>
      <c r="M1244" s="3"/>
      <c r="O1244" s="3"/>
      <c r="Q1244" s="3"/>
      <c r="S1244" s="3"/>
      <c r="U1244" s="3"/>
      <c r="V1244" s="3"/>
      <c r="W1244" s="3"/>
      <c r="X1244" s="3"/>
      <c r="Y1244" s="3"/>
    </row>
    <row r="1245" spans="3:25" x14ac:dyDescent="0.2">
      <c r="C1245" s="3"/>
      <c r="E1245" s="3"/>
      <c r="G1245" s="3"/>
      <c r="I1245" s="3"/>
      <c r="K1245" s="3"/>
      <c r="M1245" s="3"/>
      <c r="O1245" s="3"/>
      <c r="Q1245" s="3"/>
      <c r="S1245" s="3"/>
      <c r="U1245" s="3"/>
      <c r="V1245" s="3"/>
      <c r="W1245" s="3"/>
      <c r="X1245" s="3"/>
      <c r="Y1245" s="3"/>
    </row>
    <row r="1246" spans="3:25" x14ac:dyDescent="0.2">
      <c r="C1246" s="3"/>
      <c r="E1246" s="3"/>
      <c r="G1246" s="3"/>
      <c r="I1246" s="3"/>
      <c r="K1246" s="3"/>
      <c r="M1246" s="3"/>
      <c r="O1246" s="3"/>
      <c r="Q1246" s="3"/>
      <c r="S1246" s="3"/>
      <c r="U1246" s="3"/>
      <c r="V1246" s="3"/>
      <c r="W1246" s="3"/>
      <c r="X1246" s="3"/>
      <c r="Y1246" s="3"/>
    </row>
    <row r="1247" spans="3:25" x14ac:dyDescent="0.2">
      <c r="C1247" s="3"/>
      <c r="E1247" s="3"/>
      <c r="G1247" s="3"/>
      <c r="I1247" s="3"/>
      <c r="K1247" s="3"/>
      <c r="M1247" s="3"/>
      <c r="O1247" s="3"/>
      <c r="Q1247" s="3"/>
      <c r="S1247" s="3"/>
      <c r="U1247" s="3"/>
      <c r="V1247" s="3"/>
      <c r="W1247" s="3"/>
      <c r="X1247" s="3"/>
      <c r="Y1247" s="3"/>
    </row>
    <row r="1248" spans="3:25" x14ac:dyDescent="0.2">
      <c r="C1248" s="3"/>
      <c r="E1248" s="3"/>
      <c r="G1248" s="3"/>
      <c r="I1248" s="3"/>
      <c r="K1248" s="3"/>
      <c r="M1248" s="3"/>
      <c r="O1248" s="3"/>
      <c r="Q1248" s="3"/>
      <c r="S1248" s="3"/>
      <c r="U1248" s="3"/>
      <c r="V1248" s="3"/>
      <c r="W1248" s="3"/>
      <c r="X1248" s="3"/>
      <c r="Y1248" s="3"/>
    </row>
    <row r="1249" spans="3:25" x14ac:dyDescent="0.2">
      <c r="C1249" s="3"/>
      <c r="E1249" s="3"/>
      <c r="G1249" s="3"/>
      <c r="I1249" s="3"/>
      <c r="K1249" s="3"/>
      <c r="M1249" s="3"/>
      <c r="O1249" s="3"/>
      <c r="Q1249" s="3"/>
      <c r="S1249" s="3"/>
      <c r="U1249" s="3"/>
      <c r="V1249" s="3"/>
      <c r="W1249" s="3"/>
      <c r="X1249" s="3"/>
      <c r="Y1249" s="3"/>
    </row>
    <row r="1250" spans="3:25" x14ac:dyDescent="0.2">
      <c r="C1250" s="3"/>
      <c r="E1250" s="3"/>
      <c r="G1250" s="3"/>
      <c r="I1250" s="3"/>
      <c r="K1250" s="3"/>
      <c r="M1250" s="3"/>
      <c r="O1250" s="3"/>
      <c r="Q1250" s="3"/>
      <c r="S1250" s="3"/>
      <c r="U1250" s="3"/>
      <c r="V1250" s="3"/>
      <c r="W1250" s="3"/>
      <c r="X1250" s="3"/>
      <c r="Y1250" s="3"/>
    </row>
    <row r="1251" spans="3:25" x14ac:dyDescent="0.2">
      <c r="C1251" s="3"/>
      <c r="E1251" s="3"/>
      <c r="G1251" s="3"/>
      <c r="I1251" s="3"/>
      <c r="K1251" s="3"/>
      <c r="M1251" s="3"/>
      <c r="O1251" s="3"/>
      <c r="Q1251" s="3"/>
      <c r="S1251" s="3"/>
      <c r="U1251" s="3"/>
      <c r="V1251" s="3"/>
      <c r="W1251" s="3"/>
      <c r="X1251" s="3"/>
      <c r="Y1251" s="3"/>
    </row>
    <row r="1252" spans="3:25" x14ac:dyDescent="0.2">
      <c r="C1252" s="3"/>
      <c r="E1252" s="3"/>
      <c r="G1252" s="3"/>
      <c r="I1252" s="3"/>
      <c r="K1252" s="3"/>
      <c r="M1252" s="3"/>
      <c r="O1252" s="3"/>
      <c r="Q1252" s="3"/>
      <c r="S1252" s="3"/>
      <c r="U1252" s="3"/>
      <c r="V1252" s="3"/>
      <c r="W1252" s="3"/>
      <c r="X1252" s="3"/>
      <c r="Y1252" s="3"/>
    </row>
    <row r="1253" spans="3:25" x14ac:dyDescent="0.2">
      <c r="C1253" s="3"/>
      <c r="E1253" s="3"/>
      <c r="G1253" s="3"/>
      <c r="I1253" s="3"/>
      <c r="K1253" s="3"/>
      <c r="M1253" s="3"/>
      <c r="O1253" s="3"/>
      <c r="Q1253" s="3"/>
      <c r="S1253" s="3"/>
      <c r="U1253" s="3"/>
      <c r="V1253" s="3"/>
      <c r="W1253" s="3"/>
      <c r="X1253" s="3"/>
      <c r="Y1253" s="3"/>
    </row>
    <row r="1254" spans="3:25" x14ac:dyDescent="0.2">
      <c r="C1254" s="3"/>
      <c r="E1254" s="3"/>
      <c r="G1254" s="3"/>
      <c r="I1254" s="3"/>
      <c r="K1254" s="3"/>
      <c r="M1254" s="3"/>
      <c r="O1254" s="3"/>
      <c r="Q1254" s="3"/>
      <c r="S1254" s="3"/>
      <c r="U1254" s="3"/>
      <c r="V1254" s="3"/>
      <c r="W1254" s="3"/>
      <c r="X1254" s="3"/>
      <c r="Y1254" s="3"/>
    </row>
    <row r="1255" spans="3:25" x14ac:dyDescent="0.2">
      <c r="C1255" s="3"/>
      <c r="E1255" s="3"/>
      <c r="G1255" s="3"/>
      <c r="I1255" s="3"/>
      <c r="K1255" s="3"/>
      <c r="M1255" s="3"/>
      <c r="O1255" s="3"/>
      <c r="Q1255" s="3"/>
      <c r="S1255" s="3"/>
      <c r="U1255" s="3"/>
      <c r="V1255" s="3"/>
      <c r="W1255" s="3"/>
      <c r="X1255" s="3"/>
      <c r="Y1255" s="3"/>
    </row>
    <row r="1256" spans="3:25" x14ac:dyDescent="0.2">
      <c r="C1256" s="3"/>
      <c r="E1256" s="3"/>
      <c r="G1256" s="3"/>
      <c r="I1256" s="3"/>
      <c r="K1256" s="3"/>
      <c r="M1256" s="3"/>
      <c r="O1256" s="3"/>
      <c r="Q1256" s="3"/>
      <c r="S1256" s="3"/>
      <c r="U1256" s="3"/>
      <c r="V1256" s="3"/>
      <c r="W1256" s="3"/>
      <c r="X1256" s="3"/>
      <c r="Y1256" s="3"/>
    </row>
    <row r="1257" spans="3:25" x14ac:dyDescent="0.2">
      <c r="C1257" s="3"/>
      <c r="E1257" s="3"/>
      <c r="G1257" s="3"/>
      <c r="I1257" s="3"/>
      <c r="K1257" s="3"/>
      <c r="M1257" s="3"/>
      <c r="O1257" s="3"/>
      <c r="Q1257" s="3"/>
      <c r="S1257" s="3"/>
      <c r="U1257" s="3"/>
      <c r="V1257" s="3"/>
      <c r="W1257" s="3"/>
      <c r="X1257" s="3"/>
      <c r="Y1257" s="3"/>
    </row>
    <row r="1258" spans="3:25" x14ac:dyDescent="0.2">
      <c r="C1258" s="3"/>
      <c r="E1258" s="3"/>
      <c r="G1258" s="3"/>
      <c r="I1258" s="3"/>
      <c r="K1258" s="3"/>
      <c r="M1258" s="3"/>
      <c r="O1258" s="3"/>
      <c r="Q1258" s="3"/>
      <c r="S1258" s="3"/>
      <c r="U1258" s="3"/>
      <c r="V1258" s="3"/>
      <c r="W1258" s="3"/>
      <c r="X1258" s="3"/>
      <c r="Y1258" s="3"/>
    </row>
    <row r="1259" spans="3:25" x14ac:dyDescent="0.2">
      <c r="C1259" s="3"/>
      <c r="E1259" s="3"/>
      <c r="G1259" s="3"/>
      <c r="I1259" s="3"/>
      <c r="K1259" s="3"/>
      <c r="M1259" s="3"/>
      <c r="O1259" s="3"/>
      <c r="Q1259" s="3"/>
      <c r="S1259" s="3"/>
      <c r="U1259" s="3"/>
      <c r="V1259" s="3"/>
      <c r="W1259" s="3"/>
      <c r="X1259" s="3"/>
      <c r="Y1259" s="3"/>
    </row>
    <row r="1260" spans="3:25" x14ac:dyDescent="0.2">
      <c r="C1260" s="3"/>
      <c r="E1260" s="3"/>
      <c r="G1260" s="3"/>
      <c r="I1260" s="3"/>
      <c r="K1260" s="3"/>
      <c r="M1260" s="3"/>
      <c r="O1260" s="3"/>
      <c r="Q1260" s="3"/>
      <c r="S1260" s="3"/>
      <c r="U1260" s="3"/>
      <c r="V1260" s="3"/>
      <c r="W1260" s="3"/>
      <c r="X1260" s="3"/>
      <c r="Y1260" s="3"/>
    </row>
    <row r="1261" spans="3:25" x14ac:dyDescent="0.2">
      <c r="C1261" s="3"/>
      <c r="E1261" s="3"/>
      <c r="G1261" s="3"/>
      <c r="I1261" s="3"/>
      <c r="K1261" s="3"/>
      <c r="M1261" s="3"/>
      <c r="O1261" s="3"/>
      <c r="Q1261" s="3"/>
      <c r="S1261" s="3"/>
      <c r="U1261" s="3"/>
      <c r="V1261" s="3"/>
      <c r="W1261" s="3"/>
      <c r="X1261" s="3"/>
      <c r="Y1261" s="3"/>
    </row>
    <row r="1262" spans="3:25" x14ac:dyDescent="0.2">
      <c r="C1262" s="3"/>
      <c r="E1262" s="3"/>
      <c r="G1262" s="3"/>
      <c r="I1262" s="3"/>
      <c r="K1262" s="3"/>
      <c r="M1262" s="3"/>
      <c r="O1262" s="3"/>
      <c r="Q1262" s="3"/>
      <c r="S1262" s="3"/>
      <c r="U1262" s="3"/>
      <c r="V1262" s="3"/>
      <c r="W1262" s="3"/>
      <c r="X1262" s="3"/>
      <c r="Y1262" s="3"/>
    </row>
    <row r="1263" spans="3:25" x14ac:dyDescent="0.2">
      <c r="C1263" s="3"/>
      <c r="E1263" s="3"/>
      <c r="G1263" s="3"/>
      <c r="I1263" s="3"/>
      <c r="K1263" s="3"/>
      <c r="M1263" s="3"/>
      <c r="O1263" s="3"/>
      <c r="Q1263" s="3"/>
      <c r="S1263" s="3"/>
      <c r="U1263" s="3"/>
      <c r="V1263" s="3"/>
      <c r="W1263" s="3"/>
      <c r="X1263" s="3"/>
      <c r="Y1263" s="3"/>
    </row>
    <row r="1264" spans="3:25" x14ac:dyDescent="0.2">
      <c r="C1264" s="3"/>
      <c r="E1264" s="3"/>
      <c r="G1264" s="3"/>
      <c r="I1264" s="3"/>
      <c r="K1264" s="3"/>
      <c r="M1264" s="3"/>
      <c r="O1264" s="3"/>
      <c r="Q1264" s="3"/>
      <c r="S1264" s="3"/>
      <c r="U1264" s="3"/>
      <c r="V1264" s="3"/>
      <c r="W1264" s="3"/>
      <c r="X1264" s="3"/>
      <c r="Y1264" s="3"/>
    </row>
    <row r="1265" spans="3:25" x14ac:dyDescent="0.2">
      <c r="C1265" s="3"/>
      <c r="E1265" s="3"/>
      <c r="G1265" s="3"/>
      <c r="I1265" s="3"/>
      <c r="K1265" s="3"/>
      <c r="M1265" s="3"/>
      <c r="O1265" s="3"/>
      <c r="Q1265" s="3"/>
      <c r="S1265" s="3"/>
      <c r="U1265" s="3"/>
      <c r="V1265" s="3"/>
      <c r="W1265" s="3"/>
      <c r="X1265" s="3"/>
      <c r="Y1265" s="3"/>
    </row>
    <row r="1266" spans="3:25" x14ac:dyDescent="0.2">
      <c r="C1266" s="3"/>
      <c r="E1266" s="3"/>
      <c r="G1266" s="3"/>
      <c r="I1266" s="3"/>
      <c r="K1266" s="3"/>
      <c r="M1266" s="3"/>
      <c r="O1266" s="3"/>
      <c r="Q1266" s="3"/>
      <c r="S1266" s="3"/>
      <c r="U1266" s="3"/>
      <c r="V1266" s="3"/>
      <c r="W1266" s="3"/>
      <c r="X1266" s="3"/>
      <c r="Y1266" s="3"/>
    </row>
    <row r="1267" spans="3:25" x14ac:dyDescent="0.2">
      <c r="C1267" s="3"/>
      <c r="E1267" s="3"/>
      <c r="G1267" s="3"/>
      <c r="I1267" s="3"/>
      <c r="K1267" s="3"/>
      <c r="M1267" s="3"/>
      <c r="O1267" s="3"/>
      <c r="Q1267" s="3"/>
      <c r="S1267" s="3"/>
      <c r="U1267" s="3"/>
      <c r="V1267" s="3"/>
      <c r="W1267" s="3"/>
      <c r="X1267" s="3"/>
      <c r="Y1267" s="3"/>
    </row>
    <row r="1268" spans="3:25" x14ac:dyDescent="0.2">
      <c r="C1268" s="3"/>
      <c r="E1268" s="3"/>
      <c r="G1268" s="3"/>
      <c r="I1268" s="3"/>
      <c r="K1268" s="3"/>
      <c r="M1268" s="3"/>
      <c r="O1268" s="3"/>
      <c r="Q1268" s="3"/>
      <c r="S1268" s="3"/>
      <c r="U1268" s="3"/>
      <c r="V1268" s="3"/>
      <c r="W1268" s="3"/>
      <c r="X1268" s="3"/>
      <c r="Y1268" s="3"/>
    </row>
    <row r="1269" spans="3:25" x14ac:dyDescent="0.2">
      <c r="C1269" s="3"/>
      <c r="E1269" s="3"/>
      <c r="G1269" s="3"/>
      <c r="I1269" s="3"/>
      <c r="K1269" s="3"/>
      <c r="M1269" s="3"/>
      <c r="O1269" s="3"/>
      <c r="Q1269" s="3"/>
      <c r="S1269" s="3"/>
      <c r="U1269" s="3"/>
      <c r="V1269" s="3"/>
      <c r="W1269" s="3"/>
      <c r="X1269" s="3"/>
      <c r="Y1269" s="3"/>
    </row>
    <row r="1270" spans="3:25" x14ac:dyDescent="0.2">
      <c r="C1270" s="3"/>
      <c r="E1270" s="3"/>
      <c r="G1270" s="3"/>
      <c r="I1270" s="3"/>
      <c r="K1270" s="3"/>
      <c r="M1270" s="3"/>
      <c r="O1270" s="3"/>
      <c r="Q1270" s="3"/>
      <c r="S1270" s="3"/>
      <c r="U1270" s="3"/>
      <c r="V1270" s="3"/>
      <c r="W1270" s="3"/>
      <c r="X1270" s="3"/>
      <c r="Y1270" s="3"/>
    </row>
    <row r="1271" spans="3:25" x14ac:dyDescent="0.2">
      <c r="C1271" s="3"/>
      <c r="E1271" s="3"/>
      <c r="G1271" s="3"/>
      <c r="I1271" s="3"/>
      <c r="K1271" s="3"/>
      <c r="M1271" s="3"/>
      <c r="O1271" s="3"/>
      <c r="Q1271" s="3"/>
      <c r="S1271" s="3"/>
      <c r="U1271" s="3"/>
      <c r="V1271" s="3"/>
      <c r="W1271" s="3"/>
      <c r="X1271" s="3"/>
      <c r="Y1271" s="3"/>
    </row>
    <row r="1272" spans="3:25" x14ac:dyDescent="0.2">
      <c r="C1272" s="3"/>
      <c r="E1272" s="3"/>
      <c r="G1272" s="3"/>
      <c r="I1272" s="3"/>
      <c r="K1272" s="3"/>
      <c r="M1272" s="3"/>
      <c r="O1272" s="3"/>
      <c r="Q1272" s="3"/>
      <c r="S1272" s="3"/>
      <c r="U1272" s="3"/>
      <c r="V1272" s="3"/>
      <c r="W1272" s="3"/>
      <c r="X1272" s="3"/>
      <c r="Y1272" s="3"/>
    </row>
    <row r="1273" spans="3:25" x14ac:dyDescent="0.2">
      <c r="C1273" s="3"/>
      <c r="E1273" s="3"/>
      <c r="G1273" s="3"/>
      <c r="I1273" s="3"/>
      <c r="K1273" s="3"/>
      <c r="M1273" s="3"/>
      <c r="O1273" s="3"/>
      <c r="Q1273" s="3"/>
      <c r="S1273" s="3"/>
      <c r="U1273" s="3"/>
      <c r="V1273" s="3"/>
      <c r="W1273" s="3"/>
      <c r="X1273" s="3"/>
      <c r="Y1273" s="3"/>
    </row>
    <row r="1274" spans="3:25" x14ac:dyDescent="0.2">
      <c r="C1274" s="3"/>
      <c r="E1274" s="3"/>
      <c r="G1274" s="3"/>
      <c r="I1274" s="3"/>
      <c r="K1274" s="3"/>
      <c r="M1274" s="3"/>
      <c r="O1274" s="3"/>
      <c r="Q1274" s="3"/>
      <c r="S1274" s="3"/>
      <c r="U1274" s="3"/>
      <c r="V1274" s="3"/>
      <c r="W1274" s="3"/>
      <c r="X1274" s="3"/>
      <c r="Y1274" s="3"/>
    </row>
    <row r="1275" spans="3:25" x14ac:dyDescent="0.2">
      <c r="C1275" s="3"/>
      <c r="E1275" s="3"/>
      <c r="G1275" s="3"/>
      <c r="I1275" s="3"/>
      <c r="K1275" s="3"/>
      <c r="M1275" s="3"/>
      <c r="O1275" s="3"/>
      <c r="Q1275" s="3"/>
      <c r="S1275" s="3"/>
      <c r="U1275" s="3"/>
      <c r="V1275" s="3"/>
      <c r="W1275" s="3"/>
      <c r="X1275" s="3"/>
      <c r="Y1275" s="3"/>
    </row>
    <row r="1276" spans="3:25" x14ac:dyDescent="0.2">
      <c r="C1276" s="3"/>
      <c r="E1276" s="3"/>
      <c r="G1276" s="3"/>
      <c r="I1276" s="3"/>
      <c r="K1276" s="3"/>
      <c r="M1276" s="3"/>
      <c r="O1276" s="3"/>
      <c r="Q1276" s="3"/>
      <c r="S1276" s="3"/>
      <c r="U1276" s="3"/>
      <c r="V1276" s="3"/>
      <c r="W1276" s="3"/>
      <c r="X1276" s="3"/>
      <c r="Y1276" s="3"/>
    </row>
    <row r="1277" spans="3:25" x14ac:dyDescent="0.2">
      <c r="C1277" s="3"/>
      <c r="E1277" s="3"/>
      <c r="G1277" s="3"/>
      <c r="I1277" s="3"/>
      <c r="K1277" s="3"/>
      <c r="M1277" s="3"/>
      <c r="O1277" s="3"/>
      <c r="Q1277" s="3"/>
      <c r="S1277" s="3"/>
      <c r="U1277" s="3"/>
      <c r="V1277" s="3"/>
      <c r="W1277" s="3"/>
      <c r="X1277" s="3"/>
      <c r="Y1277" s="3"/>
    </row>
    <row r="1278" spans="3:25" x14ac:dyDescent="0.2">
      <c r="C1278" s="3"/>
      <c r="E1278" s="3"/>
      <c r="G1278" s="3"/>
      <c r="I1278" s="3"/>
      <c r="K1278" s="3"/>
      <c r="M1278" s="3"/>
      <c r="O1278" s="3"/>
      <c r="Q1278" s="3"/>
      <c r="S1278" s="3"/>
      <c r="U1278" s="3"/>
      <c r="V1278" s="3"/>
      <c r="W1278" s="3"/>
      <c r="X1278" s="3"/>
      <c r="Y1278" s="3"/>
    </row>
    <row r="1279" spans="3:25" x14ac:dyDescent="0.2">
      <c r="C1279" s="3"/>
      <c r="E1279" s="3"/>
      <c r="G1279" s="3"/>
      <c r="I1279" s="3"/>
      <c r="K1279" s="3"/>
      <c r="M1279" s="3"/>
      <c r="O1279" s="3"/>
      <c r="Q1279" s="3"/>
      <c r="S1279" s="3"/>
      <c r="U1279" s="3"/>
      <c r="V1279" s="3"/>
      <c r="W1279" s="3"/>
      <c r="X1279" s="3"/>
      <c r="Y1279" s="3"/>
    </row>
    <row r="1280" spans="3:25" x14ac:dyDescent="0.2">
      <c r="C1280" s="3"/>
      <c r="E1280" s="3"/>
      <c r="G1280" s="3"/>
      <c r="I1280" s="3"/>
      <c r="K1280" s="3"/>
      <c r="M1280" s="3"/>
      <c r="O1280" s="3"/>
      <c r="Q1280" s="3"/>
      <c r="S1280" s="3"/>
      <c r="U1280" s="3"/>
      <c r="V1280" s="3"/>
      <c r="W1280" s="3"/>
      <c r="X1280" s="3"/>
      <c r="Y1280" s="3"/>
    </row>
    <row r="1281" spans="3:25" x14ac:dyDescent="0.2">
      <c r="C1281" s="3"/>
      <c r="E1281" s="3"/>
      <c r="G1281" s="3"/>
      <c r="I1281" s="3"/>
      <c r="K1281" s="3"/>
      <c r="M1281" s="3"/>
      <c r="O1281" s="3"/>
      <c r="Q1281" s="3"/>
      <c r="S1281" s="3"/>
      <c r="U1281" s="3"/>
      <c r="V1281" s="3"/>
      <c r="W1281" s="3"/>
      <c r="X1281" s="3"/>
      <c r="Y1281" s="3"/>
    </row>
    <row r="1282" spans="3:25" x14ac:dyDescent="0.2">
      <c r="C1282" s="3"/>
      <c r="E1282" s="3"/>
      <c r="G1282" s="3"/>
      <c r="I1282" s="3"/>
      <c r="K1282" s="3"/>
      <c r="M1282" s="3"/>
      <c r="O1282" s="3"/>
      <c r="Q1282" s="3"/>
      <c r="S1282" s="3"/>
      <c r="U1282" s="3"/>
      <c r="V1282" s="3"/>
      <c r="W1282" s="3"/>
      <c r="X1282" s="3"/>
      <c r="Y1282" s="3"/>
    </row>
    <row r="1283" spans="3:25" x14ac:dyDescent="0.2">
      <c r="C1283" s="3"/>
      <c r="E1283" s="3"/>
      <c r="G1283" s="3"/>
      <c r="I1283" s="3"/>
      <c r="K1283" s="3"/>
      <c r="M1283" s="3"/>
      <c r="O1283" s="3"/>
      <c r="Q1283" s="3"/>
      <c r="S1283" s="3"/>
      <c r="U1283" s="3"/>
      <c r="V1283" s="3"/>
      <c r="W1283" s="3"/>
      <c r="X1283" s="3"/>
      <c r="Y1283" s="3"/>
    </row>
    <row r="1284" spans="3:25" x14ac:dyDescent="0.2">
      <c r="C1284" s="3"/>
      <c r="E1284" s="3"/>
      <c r="G1284" s="3"/>
      <c r="I1284" s="3"/>
      <c r="K1284" s="3"/>
      <c r="M1284" s="3"/>
      <c r="O1284" s="3"/>
      <c r="Q1284" s="3"/>
      <c r="S1284" s="3"/>
      <c r="U1284" s="3"/>
      <c r="V1284" s="3"/>
      <c r="W1284" s="3"/>
      <c r="X1284" s="3"/>
      <c r="Y1284" s="3"/>
    </row>
    <row r="1285" spans="3:25" x14ac:dyDescent="0.2">
      <c r="C1285" s="3"/>
      <c r="E1285" s="3"/>
      <c r="G1285" s="3"/>
      <c r="I1285" s="3"/>
      <c r="K1285" s="3"/>
      <c r="M1285" s="3"/>
      <c r="O1285" s="3"/>
      <c r="Q1285" s="3"/>
      <c r="S1285" s="3"/>
      <c r="U1285" s="3"/>
      <c r="V1285" s="3"/>
      <c r="W1285" s="3"/>
      <c r="X1285" s="3"/>
      <c r="Y1285" s="3"/>
    </row>
    <row r="1286" spans="3:25" x14ac:dyDescent="0.2">
      <c r="C1286" s="3"/>
      <c r="E1286" s="3"/>
      <c r="G1286" s="3"/>
      <c r="I1286" s="3"/>
      <c r="K1286" s="3"/>
      <c r="M1286" s="3"/>
      <c r="O1286" s="3"/>
      <c r="Q1286" s="3"/>
      <c r="S1286" s="3"/>
      <c r="U1286" s="3"/>
      <c r="V1286" s="3"/>
      <c r="W1286" s="3"/>
      <c r="X1286" s="3"/>
      <c r="Y1286" s="3"/>
    </row>
    <row r="1287" spans="3:25" x14ac:dyDescent="0.2">
      <c r="C1287" s="3"/>
      <c r="E1287" s="3"/>
      <c r="G1287" s="3"/>
      <c r="I1287" s="3"/>
      <c r="K1287" s="3"/>
      <c r="M1287" s="3"/>
      <c r="O1287" s="3"/>
      <c r="Q1287" s="3"/>
      <c r="S1287" s="3"/>
      <c r="U1287" s="3"/>
      <c r="V1287" s="3"/>
      <c r="W1287" s="3"/>
      <c r="X1287" s="3"/>
      <c r="Y1287" s="3"/>
    </row>
    <row r="1288" spans="3:25" x14ac:dyDescent="0.2">
      <c r="C1288" s="3"/>
      <c r="E1288" s="3"/>
      <c r="G1288" s="3"/>
      <c r="I1288" s="3"/>
      <c r="K1288" s="3"/>
      <c r="M1288" s="3"/>
      <c r="O1288" s="3"/>
      <c r="Q1288" s="3"/>
      <c r="S1288" s="3"/>
      <c r="U1288" s="3"/>
      <c r="V1288" s="3"/>
      <c r="W1288" s="3"/>
      <c r="X1288" s="3"/>
      <c r="Y1288" s="3"/>
    </row>
    <row r="1289" spans="3:25" x14ac:dyDescent="0.2">
      <c r="C1289" s="3"/>
      <c r="E1289" s="3"/>
      <c r="G1289" s="3"/>
      <c r="I1289" s="3"/>
      <c r="K1289" s="3"/>
      <c r="M1289" s="3"/>
      <c r="O1289" s="3"/>
      <c r="Q1289" s="3"/>
      <c r="S1289" s="3"/>
      <c r="U1289" s="3"/>
      <c r="V1289" s="3"/>
      <c r="W1289" s="3"/>
      <c r="X1289" s="3"/>
      <c r="Y1289" s="3"/>
    </row>
    <row r="1290" spans="3:25" x14ac:dyDescent="0.2">
      <c r="C1290" s="3"/>
      <c r="E1290" s="3"/>
      <c r="G1290" s="3"/>
      <c r="I1290" s="3"/>
      <c r="K1290" s="3"/>
      <c r="M1290" s="3"/>
      <c r="O1290" s="3"/>
      <c r="Q1290" s="3"/>
      <c r="S1290" s="3"/>
      <c r="U1290" s="3"/>
      <c r="V1290" s="3"/>
      <c r="W1290" s="3"/>
      <c r="X1290" s="3"/>
      <c r="Y1290" s="3"/>
    </row>
    <row r="1291" spans="3:25" x14ac:dyDescent="0.2">
      <c r="C1291" s="3"/>
      <c r="E1291" s="3"/>
      <c r="G1291" s="3"/>
      <c r="I1291" s="3"/>
      <c r="K1291" s="3"/>
      <c r="M1291" s="3"/>
      <c r="O1291" s="3"/>
      <c r="Q1291" s="3"/>
      <c r="S1291" s="3"/>
      <c r="U1291" s="3"/>
      <c r="V1291" s="3"/>
      <c r="W1291" s="3"/>
      <c r="X1291" s="3"/>
      <c r="Y1291" s="3"/>
    </row>
    <row r="1292" spans="3:25" x14ac:dyDescent="0.2">
      <c r="C1292" s="3"/>
      <c r="E1292" s="3"/>
      <c r="G1292" s="3"/>
      <c r="I1292" s="3"/>
      <c r="K1292" s="3"/>
      <c r="M1292" s="3"/>
      <c r="O1292" s="3"/>
      <c r="Q1292" s="3"/>
      <c r="S1292" s="3"/>
      <c r="U1292" s="3"/>
      <c r="V1292" s="3"/>
      <c r="W1292" s="3"/>
      <c r="X1292" s="3"/>
      <c r="Y1292" s="3"/>
    </row>
    <row r="1293" spans="3:25" x14ac:dyDescent="0.2">
      <c r="C1293" s="3"/>
      <c r="E1293" s="3"/>
      <c r="G1293" s="3"/>
      <c r="I1293" s="3"/>
      <c r="K1293" s="3"/>
      <c r="M1293" s="3"/>
      <c r="O1293" s="3"/>
      <c r="Q1293" s="3"/>
      <c r="S1293" s="3"/>
      <c r="U1293" s="3"/>
      <c r="V1293" s="3"/>
      <c r="W1293" s="3"/>
      <c r="X1293" s="3"/>
      <c r="Y1293" s="3"/>
    </row>
    <row r="1294" spans="3:25" x14ac:dyDescent="0.2">
      <c r="C1294" s="3"/>
      <c r="E1294" s="3"/>
      <c r="G1294" s="3"/>
      <c r="I1294" s="3"/>
      <c r="K1294" s="3"/>
      <c r="M1294" s="3"/>
      <c r="O1294" s="3"/>
      <c r="Q1294" s="3"/>
      <c r="S1294" s="3"/>
      <c r="U1294" s="3"/>
      <c r="V1294" s="3"/>
      <c r="W1294" s="3"/>
      <c r="X1294" s="3"/>
      <c r="Y1294" s="3"/>
    </row>
    <row r="1295" spans="3:25" x14ac:dyDescent="0.2">
      <c r="C1295" s="3"/>
      <c r="E1295" s="3"/>
      <c r="G1295" s="3"/>
      <c r="I1295" s="3"/>
      <c r="K1295" s="3"/>
      <c r="M1295" s="3"/>
      <c r="O1295" s="3"/>
      <c r="Q1295" s="3"/>
      <c r="S1295" s="3"/>
      <c r="U1295" s="3"/>
      <c r="V1295" s="3"/>
      <c r="W1295" s="3"/>
      <c r="X1295" s="3"/>
      <c r="Y1295" s="3"/>
    </row>
    <row r="1296" spans="3:25" x14ac:dyDescent="0.2">
      <c r="C1296" s="3"/>
      <c r="E1296" s="3"/>
      <c r="G1296" s="3"/>
      <c r="I1296" s="3"/>
      <c r="K1296" s="3"/>
      <c r="M1296" s="3"/>
      <c r="O1296" s="3"/>
      <c r="Q1296" s="3"/>
      <c r="S1296" s="3"/>
      <c r="U1296" s="3"/>
      <c r="V1296" s="3"/>
      <c r="W1296" s="3"/>
      <c r="X1296" s="3"/>
      <c r="Y1296" s="3"/>
    </row>
    <row r="1297" spans="3:25" x14ac:dyDescent="0.2">
      <c r="C1297" s="3"/>
      <c r="E1297" s="3"/>
      <c r="G1297" s="3"/>
      <c r="I1297" s="3"/>
      <c r="K1297" s="3"/>
      <c r="M1297" s="3"/>
      <c r="O1297" s="3"/>
      <c r="Q1297" s="3"/>
      <c r="S1297" s="3"/>
      <c r="U1297" s="3"/>
      <c r="V1297" s="3"/>
      <c r="W1297" s="3"/>
      <c r="X1297" s="3"/>
      <c r="Y1297" s="3"/>
    </row>
    <row r="1298" spans="3:25" x14ac:dyDescent="0.2">
      <c r="C1298" s="3"/>
      <c r="E1298" s="3"/>
      <c r="G1298" s="3"/>
      <c r="I1298" s="3"/>
      <c r="K1298" s="3"/>
      <c r="M1298" s="3"/>
      <c r="O1298" s="3"/>
      <c r="Q1298" s="3"/>
      <c r="S1298" s="3"/>
      <c r="U1298" s="3"/>
      <c r="V1298" s="3"/>
      <c r="W1298" s="3"/>
      <c r="X1298" s="3"/>
      <c r="Y1298" s="3"/>
    </row>
    <row r="1299" spans="3:25" x14ac:dyDescent="0.2">
      <c r="C1299" s="3"/>
      <c r="E1299" s="3"/>
      <c r="G1299" s="3"/>
      <c r="I1299" s="3"/>
      <c r="K1299" s="3"/>
      <c r="M1299" s="3"/>
      <c r="O1299" s="3"/>
      <c r="Q1299" s="3"/>
      <c r="S1299" s="3"/>
      <c r="U1299" s="3"/>
      <c r="V1299" s="3"/>
      <c r="W1299" s="3"/>
      <c r="X1299" s="3"/>
      <c r="Y1299" s="3"/>
    </row>
    <row r="1300" spans="3:25" x14ac:dyDescent="0.2">
      <c r="C1300" s="3"/>
      <c r="E1300" s="3"/>
      <c r="G1300" s="3"/>
      <c r="I1300" s="3"/>
      <c r="K1300" s="3"/>
      <c r="M1300" s="3"/>
      <c r="O1300" s="3"/>
      <c r="Q1300" s="3"/>
      <c r="S1300" s="3"/>
      <c r="U1300" s="3"/>
      <c r="V1300" s="3"/>
      <c r="W1300" s="3"/>
      <c r="X1300" s="3"/>
      <c r="Y1300" s="3"/>
    </row>
    <row r="1301" spans="3:25" x14ac:dyDescent="0.2">
      <c r="C1301" s="3"/>
      <c r="E1301" s="3"/>
      <c r="G1301" s="3"/>
      <c r="I1301" s="3"/>
      <c r="K1301" s="3"/>
      <c r="M1301" s="3"/>
      <c r="O1301" s="3"/>
      <c r="Q1301" s="3"/>
      <c r="S1301" s="3"/>
      <c r="U1301" s="3"/>
      <c r="V1301" s="3"/>
      <c r="W1301" s="3"/>
      <c r="X1301" s="3"/>
      <c r="Y1301" s="3"/>
    </row>
    <row r="1302" spans="3:25" x14ac:dyDescent="0.2">
      <c r="C1302" s="3"/>
      <c r="E1302" s="3"/>
      <c r="G1302" s="3"/>
      <c r="I1302" s="3"/>
      <c r="K1302" s="3"/>
      <c r="M1302" s="3"/>
      <c r="O1302" s="3"/>
      <c r="Q1302" s="3"/>
      <c r="S1302" s="3"/>
      <c r="U1302" s="3"/>
      <c r="V1302" s="3"/>
      <c r="W1302" s="3"/>
      <c r="X1302" s="3"/>
      <c r="Y1302" s="3"/>
    </row>
    <row r="1303" spans="3:25" x14ac:dyDescent="0.2">
      <c r="C1303" s="3"/>
      <c r="E1303" s="3"/>
      <c r="G1303" s="3"/>
      <c r="I1303" s="3"/>
      <c r="K1303" s="3"/>
      <c r="M1303" s="3"/>
      <c r="O1303" s="3"/>
      <c r="Q1303" s="3"/>
      <c r="S1303" s="3"/>
      <c r="U1303" s="3"/>
      <c r="V1303" s="3"/>
      <c r="W1303" s="3"/>
      <c r="X1303" s="3"/>
      <c r="Y1303" s="3"/>
    </row>
    <row r="1304" spans="3:25" x14ac:dyDescent="0.2">
      <c r="C1304" s="3"/>
      <c r="E1304" s="3"/>
      <c r="G1304" s="3"/>
      <c r="I1304" s="3"/>
      <c r="K1304" s="3"/>
      <c r="M1304" s="3"/>
      <c r="O1304" s="3"/>
      <c r="Q1304" s="3"/>
      <c r="S1304" s="3"/>
      <c r="U1304" s="3"/>
      <c r="V1304" s="3"/>
      <c r="W1304" s="3"/>
      <c r="X1304" s="3"/>
      <c r="Y1304" s="3"/>
    </row>
    <row r="1305" spans="3:25" x14ac:dyDescent="0.2">
      <c r="C1305" s="3"/>
      <c r="E1305" s="3"/>
      <c r="G1305" s="3"/>
      <c r="I1305" s="3"/>
      <c r="K1305" s="3"/>
      <c r="M1305" s="3"/>
      <c r="O1305" s="3"/>
      <c r="Q1305" s="3"/>
      <c r="S1305" s="3"/>
      <c r="U1305" s="3"/>
      <c r="V1305" s="3"/>
      <c r="W1305" s="3"/>
      <c r="X1305" s="3"/>
      <c r="Y1305" s="3"/>
    </row>
    <row r="1306" spans="3:25" x14ac:dyDescent="0.2">
      <c r="C1306" s="3"/>
      <c r="E1306" s="3"/>
      <c r="G1306" s="3"/>
      <c r="I1306" s="3"/>
      <c r="K1306" s="3"/>
      <c r="M1306" s="3"/>
      <c r="O1306" s="3"/>
      <c r="Q1306" s="3"/>
      <c r="S1306" s="3"/>
      <c r="U1306" s="3"/>
      <c r="V1306" s="3"/>
      <c r="W1306" s="3"/>
      <c r="X1306" s="3"/>
      <c r="Y1306" s="3"/>
    </row>
    <row r="1307" spans="3:25" x14ac:dyDescent="0.2">
      <c r="C1307" s="3"/>
      <c r="E1307" s="3"/>
      <c r="G1307" s="3"/>
      <c r="I1307" s="3"/>
      <c r="K1307" s="3"/>
      <c r="M1307" s="3"/>
      <c r="O1307" s="3"/>
      <c r="Q1307" s="3"/>
      <c r="S1307" s="3"/>
      <c r="U1307" s="3"/>
      <c r="V1307" s="3"/>
      <c r="W1307" s="3"/>
      <c r="X1307" s="3"/>
      <c r="Y1307" s="3"/>
    </row>
    <row r="1308" spans="3:25" x14ac:dyDescent="0.2">
      <c r="C1308" s="3"/>
      <c r="E1308" s="3"/>
      <c r="G1308" s="3"/>
      <c r="I1308" s="3"/>
      <c r="K1308" s="3"/>
      <c r="M1308" s="3"/>
      <c r="O1308" s="3"/>
      <c r="Q1308" s="3"/>
      <c r="S1308" s="3"/>
      <c r="U1308" s="3"/>
      <c r="V1308" s="3"/>
      <c r="W1308" s="3"/>
      <c r="X1308" s="3"/>
      <c r="Y1308" s="3"/>
    </row>
    <row r="1309" spans="3:25" x14ac:dyDescent="0.2">
      <c r="C1309" s="3"/>
      <c r="E1309" s="3"/>
      <c r="G1309" s="3"/>
      <c r="I1309" s="3"/>
      <c r="K1309" s="3"/>
      <c r="M1309" s="3"/>
      <c r="O1309" s="3"/>
      <c r="Q1309" s="3"/>
      <c r="S1309" s="3"/>
      <c r="U1309" s="3"/>
      <c r="V1309" s="3"/>
      <c r="W1309" s="3"/>
      <c r="X1309" s="3"/>
      <c r="Y1309" s="3"/>
    </row>
    <row r="1310" spans="3:25" x14ac:dyDescent="0.2">
      <c r="C1310" s="3"/>
      <c r="E1310" s="3"/>
      <c r="G1310" s="3"/>
      <c r="I1310" s="3"/>
      <c r="K1310" s="3"/>
      <c r="M1310" s="3"/>
      <c r="O1310" s="3"/>
      <c r="Q1310" s="3"/>
      <c r="S1310" s="3"/>
      <c r="U1310" s="3"/>
      <c r="V1310" s="3"/>
      <c r="W1310" s="3"/>
      <c r="X1310" s="3"/>
      <c r="Y1310" s="3"/>
    </row>
    <row r="1311" spans="3:25" x14ac:dyDescent="0.2">
      <c r="C1311" s="3"/>
      <c r="E1311" s="3"/>
      <c r="G1311" s="3"/>
      <c r="I1311" s="3"/>
      <c r="K1311" s="3"/>
      <c r="M1311" s="3"/>
      <c r="O1311" s="3"/>
      <c r="Q1311" s="3"/>
      <c r="S1311" s="3"/>
      <c r="U1311" s="3"/>
      <c r="V1311" s="3"/>
      <c r="W1311" s="3"/>
      <c r="X1311" s="3"/>
      <c r="Y1311" s="3"/>
    </row>
    <row r="1312" spans="3:25" x14ac:dyDescent="0.2">
      <c r="C1312" s="3"/>
      <c r="E1312" s="3"/>
      <c r="G1312" s="3"/>
      <c r="I1312" s="3"/>
      <c r="K1312" s="3"/>
      <c r="M1312" s="3"/>
      <c r="O1312" s="3"/>
      <c r="Q1312" s="3"/>
      <c r="S1312" s="3"/>
      <c r="U1312" s="3"/>
      <c r="V1312" s="3"/>
      <c r="W1312" s="3"/>
      <c r="X1312" s="3"/>
      <c r="Y1312" s="3"/>
    </row>
    <row r="1313" spans="3:25" x14ac:dyDescent="0.2">
      <c r="C1313" s="3"/>
      <c r="E1313" s="3"/>
      <c r="G1313" s="3"/>
      <c r="I1313" s="3"/>
      <c r="K1313" s="3"/>
      <c r="M1313" s="3"/>
      <c r="O1313" s="3"/>
      <c r="Q1313" s="3"/>
      <c r="S1313" s="3"/>
      <c r="U1313" s="3"/>
      <c r="V1313" s="3"/>
      <c r="W1313" s="3"/>
      <c r="X1313" s="3"/>
      <c r="Y1313" s="3"/>
    </row>
    <row r="1314" spans="3:25" x14ac:dyDescent="0.2">
      <c r="C1314" s="3"/>
      <c r="E1314" s="3"/>
      <c r="G1314" s="3"/>
      <c r="I1314" s="3"/>
      <c r="K1314" s="3"/>
      <c r="M1314" s="3"/>
      <c r="O1314" s="3"/>
      <c r="Q1314" s="3"/>
      <c r="S1314" s="3"/>
      <c r="U1314" s="3"/>
      <c r="V1314" s="3"/>
      <c r="W1314" s="3"/>
      <c r="X1314" s="3"/>
      <c r="Y1314" s="3"/>
    </row>
    <row r="1315" spans="3:25" x14ac:dyDescent="0.2">
      <c r="C1315" s="3"/>
      <c r="E1315" s="3"/>
      <c r="G1315" s="3"/>
      <c r="I1315" s="3"/>
      <c r="K1315" s="3"/>
      <c r="M1315" s="3"/>
      <c r="O1315" s="3"/>
      <c r="Q1315" s="3"/>
      <c r="S1315" s="3"/>
      <c r="U1315" s="3"/>
      <c r="V1315" s="3"/>
      <c r="W1315" s="3"/>
      <c r="X1315" s="3"/>
      <c r="Y1315" s="3"/>
    </row>
    <row r="1316" spans="3:25" x14ac:dyDescent="0.2">
      <c r="C1316" s="3"/>
      <c r="E1316" s="3"/>
      <c r="G1316" s="3"/>
      <c r="I1316" s="3"/>
      <c r="K1316" s="3"/>
      <c r="M1316" s="3"/>
      <c r="O1316" s="3"/>
      <c r="Q1316" s="3"/>
      <c r="S1316" s="3"/>
      <c r="U1316" s="3"/>
      <c r="V1316" s="3"/>
      <c r="W1316" s="3"/>
      <c r="X1316" s="3"/>
      <c r="Y1316" s="3"/>
    </row>
    <row r="1317" spans="3:25" x14ac:dyDescent="0.2">
      <c r="C1317" s="3"/>
      <c r="E1317" s="3"/>
      <c r="G1317" s="3"/>
      <c r="I1317" s="3"/>
      <c r="K1317" s="3"/>
      <c r="M1317" s="3"/>
      <c r="O1317" s="3"/>
      <c r="Q1317" s="3"/>
      <c r="S1317" s="3"/>
      <c r="U1317" s="3"/>
      <c r="V1317" s="3"/>
      <c r="W1317" s="3"/>
      <c r="X1317" s="3"/>
      <c r="Y1317" s="3"/>
    </row>
    <row r="1318" spans="3:25" x14ac:dyDescent="0.2">
      <c r="C1318" s="3"/>
      <c r="E1318" s="3"/>
      <c r="G1318" s="3"/>
      <c r="I1318" s="3"/>
      <c r="K1318" s="3"/>
      <c r="M1318" s="3"/>
      <c r="O1318" s="3"/>
      <c r="Q1318" s="3"/>
      <c r="S1318" s="3"/>
      <c r="U1318" s="3"/>
      <c r="V1318" s="3"/>
      <c r="W1318" s="3"/>
      <c r="X1318" s="3"/>
      <c r="Y1318" s="3"/>
    </row>
    <row r="1319" spans="3:25" x14ac:dyDescent="0.2">
      <c r="C1319" s="3"/>
      <c r="E1319" s="3"/>
      <c r="G1319" s="3"/>
      <c r="I1319" s="3"/>
      <c r="K1319" s="3"/>
      <c r="M1319" s="3"/>
      <c r="O1319" s="3"/>
      <c r="Q1319" s="3"/>
      <c r="S1319" s="3"/>
      <c r="U1319" s="3"/>
      <c r="V1319" s="3"/>
      <c r="W1319" s="3"/>
      <c r="X1319" s="3"/>
      <c r="Y1319" s="3"/>
    </row>
    <row r="1320" spans="3:25" x14ac:dyDescent="0.2">
      <c r="C1320" s="3"/>
      <c r="E1320" s="3"/>
      <c r="G1320" s="3"/>
      <c r="I1320" s="3"/>
      <c r="K1320" s="3"/>
      <c r="M1320" s="3"/>
      <c r="O1320" s="3"/>
      <c r="Q1320" s="3"/>
      <c r="S1320" s="3"/>
      <c r="U1320" s="3"/>
      <c r="V1320" s="3"/>
      <c r="W1320" s="3"/>
      <c r="X1320" s="3"/>
      <c r="Y1320" s="3"/>
    </row>
    <row r="1321" spans="3:25" x14ac:dyDescent="0.2">
      <c r="C1321" s="3"/>
      <c r="E1321" s="3"/>
      <c r="G1321" s="3"/>
      <c r="I1321" s="3"/>
      <c r="K1321" s="3"/>
      <c r="M1321" s="3"/>
      <c r="O1321" s="3"/>
      <c r="Q1321" s="3"/>
      <c r="S1321" s="3"/>
      <c r="U1321" s="3"/>
      <c r="V1321" s="3"/>
      <c r="W1321" s="3"/>
      <c r="X1321" s="3"/>
      <c r="Y1321" s="3"/>
    </row>
    <row r="1322" spans="3:25" x14ac:dyDescent="0.2">
      <c r="C1322" s="3"/>
      <c r="E1322" s="3"/>
      <c r="G1322" s="3"/>
      <c r="I1322" s="3"/>
      <c r="K1322" s="3"/>
      <c r="M1322" s="3"/>
      <c r="O1322" s="3"/>
      <c r="Q1322" s="3"/>
      <c r="S1322" s="3"/>
      <c r="U1322" s="3"/>
      <c r="V1322" s="3"/>
      <c r="W1322" s="3"/>
      <c r="X1322" s="3"/>
      <c r="Y1322" s="3"/>
    </row>
    <row r="1323" spans="3:25" x14ac:dyDescent="0.2">
      <c r="C1323" s="3"/>
      <c r="E1323" s="3"/>
      <c r="G1323" s="3"/>
      <c r="I1323" s="3"/>
      <c r="K1323" s="3"/>
      <c r="M1323" s="3"/>
      <c r="O1323" s="3"/>
      <c r="Q1323" s="3"/>
      <c r="S1323" s="3"/>
      <c r="U1323" s="3"/>
      <c r="V1323" s="3"/>
      <c r="W1323" s="3"/>
      <c r="X1323" s="3"/>
      <c r="Y1323" s="3"/>
    </row>
    <row r="1324" spans="3:25" x14ac:dyDescent="0.2">
      <c r="C1324" s="3"/>
      <c r="E1324" s="3"/>
      <c r="G1324" s="3"/>
      <c r="I1324" s="3"/>
      <c r="K1324" s="3"/>
      <c r="M1324" s="3"/>
      <c r="O1324" s="3"/>
      <c r="Q1324" s="3"/>
      <c r="S1324" s="3"/>
      <c r="U1324" s="3"/>
      <c r="V1324" s="3"/>
      <c r="W1324" s="3"/>
      <c r="X1324" s="3"/>
      <c r="Y1324" s="3"/>
    </row>
    <row r="1325" spans="3:25" x14ac:dyDescent="0.2">
      <c r="C1325" s="3"/>
      <c r="E1325" s="3"/>
      <c r="G1325" s="3"/>
      <c r="I1325" s="3"/>
      <c r="K1325" s="3"/>
      <c r="M1325" s="3"/>
      <c r="O1325" s="3"/>
      <c r="Q1325" s="3"/>
      <c r="S1325" s="3"/>
      <c r="U1325" s="3"/>
      <c r="V1325" s="3"/>
      <c r="W1325" s="3"/>
      <c r="X1325" s="3"/>
      <c r="Y1325" s="3"/>
    </row>
    <row r="1326" spans="3:25" x14ac:dyDescent="0.2">
      <c r="C1326" s="3"/>
      <c r="E1326" s="3"/>
      <c r="G1326" s="3"/>
      <c r="I1326" s="3"/>
      <c r="K1326" s="3"/>
      <c r="M1326" s="3"/>
      <c r="O1326" s="3"/>
      <c r="Q1326" s="3"/>
      <c r="S1326" s="3"/>
      <c r="U1326" s="3"/>
      <c r="V1326" s="3"/>
      <c r="W1326" s="3"/>
      <c r="X1326" s="3"/>
      <c r="Y1326" s="3"/>
    </row>
    <row r="1327" spans="3:25" x14ac:dyDescent="0.2">
      <c r="C1327" s="3"/>
      <c r="E1327" s="3"/>
      <c r="G1327" s="3"/>
      <c r="I1327" s="3"/>
      <c r="K1327" s="3"/>
      <c r="M1327" s="3"/>
      <c r="O1327" s="3"/>
      <c r="Q1327" s="3"/>
      <c r="S1327" s="3"/>
      <c r="U1327" s="3"/>
      <c r="V1327" s="3"/>
      <c r="W1327" s="3"/>
      <c r="X1327" s="3"/>
      <c r="Y1327" s="3"/>
    </row>
    <row r="1328" spans="3:25" x14ac:dyDescent="0.2">
      <c r="C1328" s="3"/>
      <c r="E1328" s="3"/>
      <c r="G1328" s="3"/>
      <c r="I1328" s="3"/>
      <c r="K1328" s="3"/>
      <c r="M1328" s="3"/>
      <c r="O1328" s="3"/>
      <c r="Q1328" s="3"/>
      <c r="S1328" s="3"/>
      <c r="U1328" s="3"/>
      <c r="V1328" s="3"/>
      <c r="W1328" s="3"/>
      <c r="X1328" s="3"/>
      <c r="Y1328" s="3"/>
    </row>
    <row r="1329" spans="3:25" x14ac:dyDescent="0.2">
      <c r="C1329" s="3"/>
      <c r="E1329" s="3"/>
      <c r="G1329" s="3"/>
      <c r="I1329" s="3"/>
      <c r="K1329" s="3"/>
      <c r="M1329" s="3"/>
      <c r="O1329" s="3"/>
      <c r="Q1329" s="3"/>
      <c r="S1329" s="3"/>
      <c r="U1329" s="3"/>
      <c r="V1329" s="3"/>
      <c r="W1329" s="3"/>
      <c r="X1329" s="3"/>
      <c r="Y1329" s="3"/>
    </row>
    <row r="1330" spans="3:25" x14ac:dyDescent="0.2">
      <c r="C1330" s="3"/>
      <c r="E1330" s="3"/>
      <c r="G1330" s="3"/>
      <c r="I1330" s="3"/>
      <c r="K1330" s="3"/>
      <c r="M1330" s="3"/>
      <c r="O1330" s="3"/>
      <c r="Q1330" s="3"/>
      <c r="S1330" s="3"/>
      <c r="U1330" s="3"/>
      <c r="V1330" s="3"/>
      <c r="W1330" s="3"/>
      <c r="X1330" s="3"/>
      <c r="Y1330" s="3"/>
    </row>
    <row r="1331" spans="3:25" x14ac:dyDescent="0.2">
      <c r="C1331" s="3"/>
      <c r="E1331" s="3"/>
      <c r="G1331" s="3"/>
      <c r="I1331" s="3"/>
      <c r="K1331" s="3"/>
      <c r="M1331" s="3"/>
      <c r="O1331" s="3"/>
      <c r="Q1331" s="3"/>
      <c r="S1331" s="3"/>
      <c r="U1331" s="3"/>
      <c r="V1331" s="3"/>
      <c r="W1331" s="3"/>
      <c r="X1331" s="3"/>
      <c r="Y1331" s="3"/>
    </row>
    <row r="1332" spans="3:25" x14ac:dyDescent="0.2">
      <c r="C1332" s="3"/>
      <c r="E1332" s="3"/>
      <c r="G1332" s="3"/>
      <c r="I1332" s="3"/>
      <c r="K1332" s="3"/>
      <c r="M1332" s="3"/>
      <c r="O1332" s="3"/>
      <c r="Q1332" s="3"/>
      <c r="S1332" s="3"/>
      <c r="U1332" s="3"/>
      <c r="V1332" s="3"/>
      <c r="W1332" s="3"/>
      <c r="X1332" s="3"/>
      <c r="Y1332" s="3"/>
    </row>
    <row r="1333" spans="3:25" x14ac:dyDescent="0.2">
      <c r="C1333" s="3"/>
      <c r="E1333" s="3"/>
      <c r="G1333" s="3"/>
      <c r="I1333" s="3"/>
      <c r="K1333" s="3"/>
      <c r="M1333" s="3"/>
      <c r="O1333" s="3"/>
      <c r="Q1333" s="3"/>
      <c r="S1333" s="3"/>
      <c r="U1333" s="3"/>
      <c r="V1333" s="3"/>
      <c r="W1333" s="3"/>
      <c r="X1333" s="3"/>
      <c r="Y1333" s="3"/>
    </row>
    <row r="1334" spans="3:25" x14ac:dyDescent="0.2">
      <c r="C1334" s="3"/>
      <c r="E1334" s="3"/>
      <c r="G1334" s="3"/>
      <c r="I1334" s="3"/>
      <c r="K1334" s="3"/>
      <c r="M1334" s="3"/>
      <c r="O1334" s="3"/>
      <c r="Q1334" s="3"/>
      <c r="S1334" s="3"/>
      <c r="U1334" s="3"/>
      <c r="V1334" s="3"/>
      <c r="W1334" s="3"/>
      <c r="X1334" s="3"/>
      <c r="Y1334" s="3"/>
    </row>
    <row r="1335" spans="3:25" x14ac:dyDescent="0.2">
      <c r="C1335" s="3"/>
      <c r="E1335" s="3"/>
      <c r="G1335" s="3"/>
      <c r="I1335" s="3"/>
      <c r="K1335" s="3"/>
      <c r="M1335" s="3"/>
      <c r="O1335" s="3"/>
      <c r="Q1335" s="3"/>
      <c r="S1335" s="3"/>
      <c r="U1335" s="3"/>
      <c r="V1335" s="3"/>
      <c r="W1335" s="3"/>
      <c r="X1335" s="3"/>
      <c r="Y1335" s="3"/>
    </row>
    <row r="1336" spans="3:25" x14ac:dyDescent="0.2">
      <c r="C1336" s="3"/>
      <c r="E1336" s="3"/>
      <c r="G1336" s="3"/>
      <c r="I1336" s="3"/>
      <c r="K1336" s="3"/>
      <c r="M1336" s="3"/>
      <c r="O1336" s="3"/>
      <c r="Q1336" s="3"/>
      <c r="S1336" s="3"/>
      <c r="U1336" s="3"/>
      <c r="V1336" s="3"/>
      <c r="W1336" s="3"/>
      <c r="X1336" s="3"/>
      <c r="Y1336" s="3"/>
    </row>
    <row r="1337" spans="3:25" x14ac:dyDescent="0.2">
      <c r="C1337" s="3"/>
      <c r="E1337" s="3"/>
      <c r="G1337" s="3"/>
      <c r="I1337" s="3"/>
      <c r="K1337" s="3"/>
      <c r="M1337" s="3"/>
      <c r="O1337" s="3"/>
      <c r="Q1337" s="3"/>
      <c r="S1337" s="3"/>
      <c r="U1337" s="3"/>
      <c r="V1337" s="3"/>
      <c r="W1337" s="3"/>
      <c r="X1337" s="3"/>
      <c r="Y1337" s="3"/>
    </row>
    <row r="1338" spans="3:25" x14ac:dyDescent="0.2">
      <c r="C1338" s="3"/>
      <c r="E1338" s="3"/>
      <c r="G1338" s="3"/>
      <c r="I1338" s="3"/>
      <c r="K1338" s="3"/>
      <c r="M1338" s="3"/>
      <c r="O1338" s="3"/>
      <c r="Q1338" s="3"/>
      <c r="S1338" s="3"/>
      <c r="U1338" s="3"/>
      <c r="V1338" s="3"/>
      <c r="W1338" s="3"/>
      <c r="X1338" s="3"/>
      <c r="Y1338" s="3"/>
    </row>
    <row r="1339" spans="3:25" x14ac:dyDescent="0.2">
      <c r="C1339" s="3"/>
      <c r="E1339" s="3"/>
      <c r="G1339" s="3"/>
      <c r="I1339" s="3"/>
      <c r="K1339" s="3"/>
      <c r="M1339" s="3"/>
      <c r="O1339" s="3"/>
      <c r="Q1339" s="3"/>
      <c r="S1339" s="3"/>
      <c r="U1339" s="3"/>
      <c r="V1339" s="3"/>
      <c r="W1339" s="3"/>
      <c r="X1339" s="3"/>
      <c r="Y1339" s="3"/>
    </row>
    <row r="1340" spans="3:25" x14ac:dyDescent="0.2">
      <c r="C1340" s="3"/>
      <c r="E1340" s="3"/>
      <c r="G1340" s="3"/>
      <c r="I1340" s="3"/>
      <c r="K1340" s="3"/>
      <c r="M1340" s="3"/>
      <c r="O1340" s="3"/>
      <c r="Q1340" s="3"/>
      <c r="S1340" s="3"/>
      <c r="U1340" s="3"/>
      <c r="V1340" s="3"/>
      <c r="W1340" s="3"/>
      <c r="X1340" s="3"/>
      <c r="Y1340" s="3"/>
    </row>
    <row r="1341" spans="3:25" x14ac:dyDescent="0.2">
      <c r="C1341" s="3"/>
      <c r="E1341" s="3"/>
      <c r="G1341" s="3"/>
      <c r="I1341" s="3"/>
      <c r="K1341" s="3"/>
      <c r="M1341" s="3"/>
      <c r="O1341" s="3"/>
      <c r="Q1341" s="3"/>
      <c r="S1341" s="3"/>
      <c r="U1341" s="3"/>
      <c r="V1341" s="3"/>
      <c r="W1341" s="3"/>
      <c r="X1341" s="3"/>
      <c r="Y1341" s="3"/>
    </row>
    <row r="1342" spans="3:25" x14ac:dyDescent="0.2">
      <c r="C1342" s="3"/>
      <c r="E1342" s="3"/>
      <c r="G1342" s="3"/>
      <c r="I1342" s="3"/>
      <c r="K1342" s="3"/>
      <c r="M1342" s="3"/>
      <c r="O1342" s="3"/>
      <c r="Q1342" s="3"/>
      <c r="S1342" s="3"/>
      <c r="U1342" s="3"/>
      <c r="V1342" s="3"/>
      <c r="W1342" s="3"/>
      <c r="X1342" s="3"/>
      <c r="Y1342" s="3"/>
    </row>
    <row r="1343" spans="3:25" x14ac:dyDescent="0.2">
      <c r="C1343" s="3"/>
      <c r="E1343" s="3"/>
      <c r="G1343" s="3"/>
      <c r="I1343" s="3"/>
      <c r="K1343" s="3"/>
      <c r="M1343" s="3"/>
      <c r="O1343" s="3"/>
      <c r="Q1343" s="3"/>
      <c r="S1343" s="3"/>
      <c r="U1343" s="3"/>
      <c r="V1343" s="3"/>
      <c r="W1343" s="3"/>
      <c r="X1343" s="3"/>
      <c r="Y1343" s="3"/>
    </row>
    <row r="1344" spans="3:25" x14ac:dyDescent="0.2">
      <c r="C1344" s="3"/>
      <c r="E1344" s="3"/>
      <c r="G1344" s="3"/>
      <c r="I1344" s="3"/>
      <c r="K1344" s="3"/>
      <c r="M1344" s="3"/>
      <c r="O1344" s="3"/>
      <c r="Q1344" s="3"/>
      <c r="S1344" s="3"/>
      <c r="U1344" s="3"/>
      <c r="V1344" s="3"/>
      <c r="W1344" s="3"/>
      <c r="X1344" s="3"/>
      <c r="Y1344" s="3"/>
    </row>
    <row r="1345" spans="3:25" x14ac:dyDescent="0.2">
      <c r="C1345" s="3"/>
      <c r="E1345" s="3"/>
      <c r="G1345" s="3"/>
      <c r="I1345" s="3"/>
      <c r="K1345" s="3"/>
      <c r="M1345" s="3"/>
      <c r="O1345" s="3"/>
      <c r="Q1345" s="3"/>
      <c r="S1345" s="3"/>
      <c r="U1345" s="3"/>
      <c r="V1345" s="3"/>
      <c r="W1345" s="3"/>
      <c r="X1345" s="3"/>
      <c r="Y1345" s="3"/>
    </row>
    <row r="1346" spans="3:25" x14ac:dyDescent="0.2">
      <c r="C1346" s="3"/>
      <c r="E1346" s="3"/>
      <c r="G1346" s="3"/>
      <c r="I1346" s="3"/>
      <c r="K1346" s="3"/>
      <c r="M1346" s="3"/>
      <c r="O1346" s="3"/>
      <c r="Q1346" s="3"/>
      <c r="S1346" s="3"/>
      <c r="U1346" s="3"/>
      <c r="V1346" s="3"/>
      <c r="W1346" s="3"/>
      <c r="X1346" s="3"/>
      <c r="Y1346" s="3"/>
    </row>
    <row r="1347" spans="3:25" x14ac:dyDescent="0.2">
      <c r="C1347" s="3"/>
      <c r="E1347" s="3"/>
      <c r="G1347" s="3"/>
      <c r="I1347" s="3"/>
      <c r="K1347" s="3"/>
      <c r="M1347" s="3"/>
      <c r="O1347" s="3"/>
      <c r="Q1347" s="3"/>
      <c r="S1347" s="3"/>
      <c r="U1347" s="3"/>
      <c r="V1347" s="3"/>
      <c r="W1347" s="3"/>
      <c r="X1347" s="3"/>
      <c r="Y1347" s="3"/>
    </row>
    <row r="1348" spans="3:25" x14ac:dyDescent="0.2">
      <c r="C1348" s="3"/>
      <c r="E1348" s="3"/>
      <c r="G1348" s="3"/>
      <c r="I1348" s="3"/>
      <c r="K1348" s="3"/>
      <c r="M1348" s="3"/>
      <c r="O1348" s="3"/>
      <c r="Q1348" s="3"/>
      <c r="S1348" s="3"/>
      <c r="U1348" s="3"/>
      <c r="V1348" s="3"/>
      <c r="W1348" s="3"/>
      <c r="X1348" s="3"/>
      <c r="Y1348" s="3"/>
    </row>
    <row r="1349" spans="3:25" x14ac:dyDescent="0.2">
      <c r="C1349" s="3"/>
      <c r="E1349" s="3"/>
      <c r="G1349" s="3"/>
      <c r="I1349" s="3"/>
      <c r="K1349" s="3"/>
      <c r="M1349" s="3"/>
      <c r="O1349" s="3"/>
      <c r="Q1349" s="3"/>
      <c r="S1349" s="3"/>
      <c r="U1349" s="3"/>
      <c r="V1349" s="3"/>
      <c r="W1349" s="3"/>
      <c r="X1349" s="3"/>
      <c r="Y1349" s="3"/>
    </row>
    <row r="1350" spans="3:25" x14ac:dyDescent="0.2">
      <c r="C1350" s="3"/>
      <c r="E1350" s="3"/>
      <c r="G1350" s="3"/>
      <c r="I1350" s="3"/>
      <c r="K1350" s="3"/>
      <c r="M1350" s="3"/>
      <c r="O1350" s="3"/>
      <c r="Q1350" s="3"/>
      <c r="S1350" s="3"/>
      <c r="U1350" s="3"/>
      <c r="V1350" s="3"/>
      <c r="W1350" s="3"/>
      <c r="X1350" s="3"/>
      <c r="Y1350" s="3"/>
    </row>
    <row r="1351" spans="3:25" x14ac:dyDescent="0.2">
      <c r="C1351" s="3"/>
      <c r="E1351" s="3"/>
      <c r="G1351" s="3"/>
      <c r="I1351" s="3"/>
      <c r="K1351" s="3"/>
      <c r="M1351" s="3"/>
      <c r="O1351" s="3"/>
      <c r="Q1351" s="3"/>
      <c r="S1351" s="3"/>
      <c r="U1351" s="3"/>
      <c r="V1351" s="3"/>
      <c r="W1351" s="3"/>
      <c r="X1351" s="3"/>
      <c r="Y1351" s="3"/>
    </row>
    <row r="1352" spans="3:25" x14ac:dyDescent="0.2">
      <c r="C1352" s="3"/>
      <c r="E1352" s="3"/>
      <c r="G1352" s="3"/>
      <c r="I1352" s="3"/>
      <c r="K1352" s="3"/>
      <c r="M1352" s="3"/>
      <c r="O1352" s="3"/>
      <c r="Q1352" s="3"/>
      <c r="S1352" s="3"/>
      <c r="U1352" s="3"/>
      <c r="V1352" s="3"/>
      <c r="W1352" s="3"/>
      <c r="X1352" s="3"/>
      <c r="Y1352" s="3"/>
    </row>
    <row r="1353" spans="3:25" x14ac:dyDescent="0.2">
      <c r="C1353" s="3"/>
      <c r="E1353" s="3"/>
      <c r="G1353" s="3"/>
      <c r="I1353" s="3"/>
      <c r="K1353" s="3"/>
      <c r="M1353" s="3"/>
      <c r="O1353" s="3"/>
      <c r="Q1353" s="3"/>
      <c r="S1353" s="3"/>
      <c r="U1353" s="3"/>
      <c r="V1353" s="3"/>
      <c r="W1353" s="3"/>
      <c r="X1353" s="3"/>
      <c r="Y1353" s="3"/>
    </row>
    <row r="1354" spans="3:25" x14ac:dyDescent="0.2">
      <c r="C1354" s="3"/>
      <c r="E1354" s="3"/>
      <c r="G1354" s="3"/>
      <c r="I1354" s="3"/>
      <c r="K1354" s="3"/>
      <c r="M1354" s="3"/>
      <c r="O1354" s="3"/>
      <c r="Q1354" s="3"/>
      <c r="S1354" s="3"/>
      <c r="U1354" s="3"/>
      <c r="V1354" s="3"/>
      <c r="W1354" s="3"/>
      <c r="X1354" s="3"/>
      <c r="Y1354" s="3"/>
    </row>
    <row r="1355" spans="3:25" x14ac:dyDescent="0.2">
      <c r="C1355" s="3"/>
      <c r="E1355" s="3"/>
      <c r="G1355" s="3"/>
      <c r="I1355" s="3"/>
      <c r="K1355" s="3"/>
      <c r="M1355" s="3"/>
      <c r="O1355" s="3"/>
      <c r="Q1355" s="3"/>
      <c r="S1355" s="3"/>
      <c r="U1355" s="3"/>
      <c r="V1355" s="3"/>
      <c r="W1355" s="3"/>
      <c r="X1355" s="3"/>
      <c r="Y1355" s="3"/>
    </row>
    <row r="1356" spans="3:25" x14ac:dyDescent="0.2">
      <c r="C1356" s="3"/>
      <c r="E1356" s="3"/>
      <c r="G1356" s="3"/>
      <c r="I1356" s="3"/>
      <c r="K1356" s="3"/>
      <c r="M1356" s="3"/>
      <c r="O1356" s="3"/>
      <c r="Q1356" s="3"/>
      <c r="S1356" s="3"/>
      <c r="U1356" s="3"/>
      <c r="V1356" s="3"/>
      <c r="W1356" s="3"/>
      <c r="X1356" s="3"/>
      <c r="Y1356" s="3"/>
    </row>
    <row r="1357" spans="3:25" x14ac:dyDescent="0.2">
      <c r="C1357" s="3"/>
      <c r="E1357" s="3"/>
      <c r="G1357" s="3"/>
      <c r="I1357" s="3"/>
      <c r="K1357" s="3"/>
      <c r="M1357" s="3"/>
      <c r="O1357" s="3"/>
      <c r="Q1357" s="3"/>
      <c r="S1357" s="3"/>
      <c r="U1357" s="3"/>
      <c r="V1357" s="3"/>
      <c r="W1357" s="3"/>
      <c r="X1357" s="3"/>
      <c r="Y1357" s="3"/>
    </row>
    <row r="1358" spans="3:25" x14ac:dyDescent="0.2">
      <c r="C1358" s="3"/>
      <c r="E1358" s="3"/>
      <c r="G1358" s="3"/>
      <c r="I1358" s="3"/>
      <c r="K1358" s="3"/>
      <c r="M1358" s="3"/>
      <c r="O1358" s="3"/>
      <c r="Q1358" s="3"/>
      <c r="S1358" s="3"/>
      <c r="U1358" s="3"/>
      <c r="V1358" s="3"/>
      <c r="W1358" s="3"/>
      <c r="X1358" s="3"/>
      <c r="Y1358" s="3"/>
    </row>
    <row r="1359" spans="3:25" x14ac:dyDescent="0.2">
      <c r="C1359" s="3"/>
      <c r="E1359" s="3"/>
      <c r="G1359" s="3"/>
      <c r="I1359" s="3"/>
      <c r="K1359" s="3"/>
      <c r="M1359" s="3"/>
      <c r="O1359" s="3"/>
      <c r="Q1359" s="3"/>
      <c r="S1359" s="3"/>
      <c r="U1359" s="3"/>
      <c r="V1359" s="3"/>
      <c r="W1359" s="3"/>
      <c r="X1359" s="3"/>
      <c r="Y1359" s="3"/>
    </row>
    <row r="1360" spans="3:25" x14ac:dyDescent="0.2">
      <c r="C1360" s="3"/>
      <c r="E1360" s="3"/>
      <c r="G1360" s="3"/>
      <c r="I1360" s="3"/>
      <c r="K1360" s="3"/>
      <c r="M1360" s="3"/>
      <c r="O1360" s="3"/>
      <c r="Q1360" s="3"/>
      <c r="S1360" s="3"/>
      <c r="U1360" s="3"/>
      <c r="V1360" s="3"/>
      <c r="W1360" s="3"/>
      <c r="X1360" s="3"/>
      <c r="Y1360" s="3"/>
    </row>
    <row r="1361" spans="3:25" x14ac:dyDescent="0.2">
      <c r="C1361" s="3"/>
      <c r="E1361" s="3"/>
      <c r="G1361" s="3"/>
      <c r="I1361" s="3"/>
      <c r="K1361" s="3"/>
      <c r="M1361" s="3"/>
      <c r="O1361" s="3"/>
      <c r="Q1361" s="3"/>
      <c r="S1361" s="3"/>
      <c r="U1361" s="3"/>
      <c r="V1361" s="3"/>
      <c r="W1361" s="3"/>
      <c r="X1361" s="3"/>
      <c r="Y1361" s="3"/>
    </row>
    <row r="1362" spans="3:25" x14ac:dyDescent="0.2">
      <c r="C1362" s="3"/>
      <c r="E1362" s="3"/>
      <c r="G1362" s="3"/>
      <c r="I1362" s="3"/>
      <c r="K1362" s="3"/>
      <c r="M1362" s="3"/>
      <c r="O1362" s="3"/>
      <c r="Q1362" s="3"/>
      <c r="S1362" s="3"/>
      <c r="U1362" s="3"/>
      <c r="V1362" s="3"/>
      <c r="W1362" s="3"/>
      <c r="X1362" s="3"/>
      <c r="Y1362" s="3"/>
    </row>
    <row r="1363" spans="3:25" x14ac:dyDescent="0.2">
      <c r="C1363" s="3"/>
      <c r="E1363" s="3"/>
      <c r="G1363" s="3"/>
      <c r="I1363" s="3"/>
      <c r="K1363" s="3"/>
      <c r="M1363" s="3"/>
      <c r="O1363" s="3"/>
      <c r="Q1363" s="3"/>
      <c r="S1363" s="3"/>
      <c r="U1363" s="3"/>
      <c r="V1363" s="3"/>
      <c r="W1363" s="3"/>
      <c r="X1363" s="3"/>
      <c r="Y1363" s="3"/>
    </row>
    <row r="1364" spans="3:25" x14ac:dyDescent="0.2">
      <c r="C1364" s="3"/>
      <c r="E1364" s="3"/>
      <c r="G1364" s="3"/>
      <c r="I1364" s="3"/>
      <c r="K1364" s="3"/>
      <c r="M1364" s="3"/>
      <c r="O1364" s="3"/>
      <c r="Q1364" s="3"/>
      <c r="S1364" s="3"/>
      <c r="U1364" s="3"/>
      <c r="V1364" s="3"/>
      <c r="W1364" s="3"/>
      <c r="X1364" s="3"/>
      <c r="Y1364" s="3"/>
    </row>
    <row r="1365" spans="3:25" x14ac:dyDescent="0.2">
      <c r="C1365" s="3"/>
      <c r="E1365" s="3"/>
      <c r="G1365" s="3"/>
      <c r="I1365" s="3"/>
      <c r="K1365" s="3"/>
      <c r="M1365" s="3"/>
      <c r="O1365" s="3"/>
      <c r="Q1365" s="3"/>
      <c r="S1365" s="3"/>
      <c r="U1365" s="3"/>
      <c r="V1365" s="3"/>
      <c r="W1365" s="3"/>
      <c r="X1365" s="3"/>
      <c r="Y1365" s="3"/>
    </row>
    <row r="1366" spans="3:25" x14ac:dyDescent="0.2">
      <c r="C1366" s="3"/>
      <c r="E1366" s="3"/>
      <c r="G1366" s="3"/>
      <c r="I1366" s="3"/>
      <c r="K1366" s="3"/>
      <c r="M1366" s="3"/>
      <c r="O1366" s="3"/>
      <c r="Q1366" s="3"/>
      <c r="S1366" s="3"/>
      <c r="U1366" s="3"/>
      <c r="V1366" s="3"/>
      <c r="W1366" s="3"/>
      <c r="X1366" s="3"/>
      <c r="Y1366" s="3"/>
    </row>
    <row r="1367" spans="3:25" x14ac:dyDescent="0.2">
      <c r="C1367" s="3"/>
      <c r="E1367" s="3"/>
      <c r="G1367" s="3"/>
      <c r="I1367" s="3"/>
      <c r="K1367" s="3"/>
      <c r="M1367" s="3"/>
      <c r="O1367" s="3"/>
      <c r="Q1367" s="3"/>
      <c r="S1367" s="3"/>
      <c r="U1367" s="3"/>
      <c r="V1367" s="3"/>
      <c r="W1367" s="3"/>
      <c r="X1367" s="3"/>
      <c r="Y1367" s="3"/>
    </row>
    <row r="1368" spans="3:25" x14ac:dyDescent="0.2">
      <c r="C1368" s="3"/>
      <c r="E1368" s="3"/>
      <c r="G1368" s="3"/>
      <c r="I1368" s="3"/>
      <c r="K1368" s="3"/>
      <c r="M1368" s="3"/>
      <c r="O1368" s="3"/>
      <c r="Q1368" s="3"/>
      <c r="S1368" s="3"/>
      <c r="U1368" s="3"/>
      <c r="V1368" s="3"/>
      <c r="W1368" s="3"/>
      <c r="X1368" s="3"/>
      <c r="Y1368" s="3"/>
    </row>
    <row r="1369" spans="3:25" x14ac:dyDescent="0.2">
      <c r="C1369" s="3"/>
      <c r="E1369" s="3"/>
      <c r="G1369" s="3"/>
      <c r="I1369" s="3"/>
      <c r="K1369" s="3"/>
      <c r="M1369" s="3"/>
      <c r="O1369" s="3"/>
      <c r="Q1369" s="3"/>
      <c r="S1369" s="3"/>
      <c r="U1369" s="3"/>
      <c r="V1369" s="3"/>
      <c r="W1369" s="3"/>
      <c r="X1369" s="3"/>
      <c r="Y1369" s="3"/>
    </row>
    <row r="1370" spans="3:25" x14ac:dyDescent="0.2">
      <c r="C1370" s="3"/>
      <c r="E1370" s="3"/>
      <c r="G1370" s="3"/>
      <c r="I1370" s="3"/>
      <c r="K1370" s="3"/>
      <c r="M1370" s="3"/>
      <c r="O1370" s="3"/>
      <c r="Q1370" s="3"/>
      <c r="S1370" s="3"/>
      <c r="U1370" s="3"/>
      <c r="V1370" s="3"/>
      <c r="W1370" s="3"/>
      <c r="X1370" s="3"/>
      <c r="Y1370" s="3"/>
    </row>
    <row r="1371" spans="3:25" x14ac:dyDescent="0.2">
      <c r="C1371" s="3"/>
      <c r="E1371" s="3"/>
      <c r="G1371" s="3"/>
      <c r="I1371" s="3"/>
      <c r="K1371" s="3"/>
      <c r="M1371" s="3"/>
      <c r="O1371" s="3"/>
      <c r="Q1371" s="3"/>
      <c r="S1371" s="3"/>
      <c r="U1371" s="3"/>
      <c r="V1371" s="3"/>
      <c r="W1371" s="3"/>
      <c r="X1371" s="3"/>
      <c r="Y1371" s="3"/>
    </row>
    <row r="1372" spans="3:25" x14ac:dyDescent="0.2">
      <c r="C1372" s="3"/>
      <c r="E1372" s="3"/>
      <c r="G1372" s="3"/>
      <c r="I1372" s="3"/>
      <c r="K1372" s="3"/>
      <c r="M1372" s="3"/>
      <c r="O1372" s="3"/>
      <c r="Q1372" s="3"/>
      <c r="S1372" s="3"/>
      <c r="U1372" s="3"/>
      <c r="V1372" s="3"/>
      <c r="W1372" s="3"/>
      <c r="X1372" s="3"/>
      <c r="Y1372" s="3"/>
    </row>
    <row r="1373" spans="3:25" x14ac:dyDescent="0.2">
      <c r="C1373" s="3"/>
      <c r="E1373" s="3"/>
      <c r="G1373" s="3"/>
      <c r="I1373" s="3"/>
      <c r="K1373" s="3"/>
      <c r="M1373" s="3"/>
      <c r="O1373" s="3"/>
      <c r="Q1373" s="3"/>
      <c r="S1373" s="3"/>
      <c r="U1373" s="3"/>
      <c r="V1373" s="3"/>
      <c r="W1373" s="3"/>
      <c r="X1373" s="3"/>
      <c r="Y1373" s="3"/>
    </row>
    <row r="1374" spans="3:25" x14ac:dyDescent="0.2">
      <c r="C1374" s="3"/>
      <c r="E1374" s="3"/>
      <c r="G1374" s="3"/>
      <c r="I1374" s="3"/>
      <c r="K1374" s="3"/>
      <c r="M1374" s="3"/>
      <c r="O1374" s="3"/>
      <c r="Q1374" s="3"/>
      <c r="S1374" s="3"/>
      <c r="U1374" s="3"/>
      <c r="V1374" s="3"/>
      <c r="W1374" s="3"/>
      <c r="X1374" s="3"/>
      <c r="Y1374" s="3"/>
    </row>
    <row r="1375" spans="3:25" x14ac:dyDescent="0.2">
      <c r="C1375" s="3"/>
      <c r="E1375" s="3"/>
      <c r="G1375" s="3"/>
      <c r="I1375" s="3"/>
      <c r="K1375" s="3"/>
      <c r="M1375" s="3"/>
      <c r="O1375" s="3"/>
      <c r="Q1375" s="3"/>
      <c r="S1375" s="3"/>
      <c r="U1375" s="3"/>
      <c r="V1375" s="3"/>
      <c r="W1375" s="3"/>
      <c r="X1375" s="3"/>
      <c r="Y1375" s="3"/>
    </row>
    <row r="1376" spans="3:25" x14ac:dyDescent="0.2">
      <c r="C1376" s="3"/>
      <c r="E1376" s="3"/>
      <c r="G1376" s="3"/>
      <c r="I1376" s="3"/>
      <c r="K1376" s="3"/>
      <c r="M1376" s="3"/>
      <c r="O1376" s="3"/>
      <c r="Q1376" s="3"/>
      <c r="S1376" s="3"/>
      <c r="U1376" s="3"/>
      <c r="V1376" s="3"/>
      <c r="W1376" s="3"/>
      <c r="X1376" s="3"/>
      <c r="Y1376" s="3"/>
    </row>
    <row r="1377" spans="3:25" x14ac:dyDescent="0.2">
      <c r="C1377" s="3"/>
      <c r="E1377" s="3"/>
      <c r="G1377" s="3"/>
      <c r="I1377" s="3"/>
      <c r="K1377" s="3"/>
      <c r="M1377" s="3"/>
      <c r="O1377" s="3"/>
      <c r="Q1377" s="3"/>
      <c r="S1377" s="3"/>
      <c r="U1377" s="3"/>
      <c r="V1377" s="3"/>
      <c r="W1377" s="3"/>
      <c r="X1377" s="3"/>
      <c r="Y1377" s="3"/>
    </row>
    <row r="1378" spans="3:25" x14ac:dyDescent="0.2">
      <c r="C1378" s="3"/>
      <c r="E1378" s="3"/>
      <c r="G1378" s="3"/>
      <c r="I1378" s="3"/>
      <c r="K1378" s="3"/>
      <c r="M1378" s="3"/>
      <c r="O1378" s="3"/>
      <c r="Q1378" s="3"/>
      <c r="S1378" s="3"/>
      <c r="U1378" s="3"/>
      <c r="V1378" s="3"/>
      <c r="W1378" s="3"/>
      <c r="X1378" s="3"/>
      <c r="Y1378" s="3"/>
    </row>
    <row r="1379" spans="3:25" x14ac:dyDescent="0.2">
      <c r="C1379" s="3"/>
      <c r="E1379" s="3"/>
      <c r="G1379" s="3"/>
      <c r="I1379" s="3"/>
      <c r="K1379" s="3"/>
      <c r="M1379" s="3"/>
      <c r="O1379" s="3"/>
      <c r="Q1379" s="3"/>
      <c r="S1379" s="3"/>
      <c r="U1379" s="3"/>
      <c r="V1379" s="3"/>
      <c r="W1379" s="3"/>
      <c r="X1379" s="3"/>
      <c r="Y1379" s="3"/>
    </row>
    <row r="1380" spans="3:25" x14ac:dyDescent="0.2">
      <c r="C1380" s="3"/>
      <c r="E1380" s="3"/>
      <c r="G1380" s="3"/>
      <c r="I1380" s="3"/>
      <c r="K1380" s="3"/>
      <c r="M1380" s="3"/>
      <c r="O1380" s="3"/>
      <c r="Q1380" s="3"/>
      <c r="S1380" s="3"/>
      <c r="U1380" s="3"/>
      <c r="V1380" s="3"/>
      <c r="W1380" s="3"/>
      <c r="X1380" s="3"/>
      <c r="Y1380" s="3"/>
    </row>
    <row r="1381" spans="3:25" x14ac:dyDescent="0.2">
      <c r="C1381" s="3"/>
      <c r="E1381" s="3"/>
      <c r="G1381" s="3"/>
      <c r="I1381" s="3"/>
      <c r="K1381" s="3"/>
      <c r="M1381" s="3"/>
      <c r="O1381" s="3"/>
      <c r="Q1381" s="3"/>
      <c r="S1381" s="3"/>
      <c r="U1381" s="3"/>
      <c r="V1381" s="3"/>
      <c r="W1381" s="3"/>
      <c r="X1381" s="3"/>
      <c r="Y1381" s="3"/>
    </row>
    <row r="1382" spans="3:25" x14ac:dyDescent="0.2">
      <c r="C1382" s="3"/>
      <c r="E1382" s="3"/>
      <c r="G1382" s="3"/>
      <c r="I1382" s="3"/>
      <c r="K1382" s="3"/>
      <c r="M1382" s="3"/>
      <c r="O1382" s="3"/>
      <c r="Q1382" s="3"/>
      <c r="S1382" s="3"/>
      <c r="U1382" s="3"/>
      <c r="V1382" s="3"/>
      <c r="W1382" s="3"/>
      <c r="X1382" s="3"/>
      <c r="Y1382" s="3"/>
    </row>
    <row r="1383" spans="3:25" x14ac:dyDescent="0.2">
      <c r="C1383" s="3"/>
      <c r="E1383" s="3"/>
      <c r="G1383" s="3"/>
      <c r="I1383" s="3"/>
      <c r="K1383" s="3"/>
      <c r="M1383" s="3"/>
      <c r="O1383" s="3"/>
      <c r="Q1383" s="3"/>
      <c r="S1383" s="3"/>
      <c r="U1383" s="3"/>
      <c r="V1383" s="3"/>
      <c r="W1383" s="3"/>
      <c r="X1383" s="3"/>
      <c r="Y1383" s="3"/>
    </row>
    <row r="1384" spans="3:25" x14ac:dyDescent="0.2">
      <c r="C1384" s="3"/>
      <c r="E1384" s="3"/>
      <c r="G1384" s="3"/>
      <c r="I1384" s="3"/>
      <c r="K1384" s="3"/>
      <c r="M1384" s="3"/>
      <c r="O1384" s="3"/>
      <c r="Q1384" s="3"/>
      <c r="S1384" s="3"/>
      <c r="U1384" s="3"/>
      <c r="V1384" s="3"/>
      <c r="W1384" s="3"/>
      <c r="X1384" s="3"/>
      <c r="Y1384" s="3"/>
    </row>
    <row r="1385" spans="3:25" x14ac:dyDescent="0.2">
      <c r="C1385" s="3"/>
      <c r="E1385" s="3"/>
      <c r="G1385" s="3"/>
      <c r="I1385" s="3"/>
      <c r="K1385" s="3"/>
      <c r="M1385" s="3"/>
      <c r="O1385" s="3"/>
      <c r="Q1385" s="3"/>
      <c r="S1385" s="3"/>
      <c r="U1385" s="3"/>
      <c r="V1385" s="3"/>
      <c r="W1385" s="3"/>
      <c r="X1385" s="3"/>
      <c r="Y1385" s="3"/>
    </row>
    <row r="1386" spans="3:25" x14ac:dyDescent="0.2">
      <c r="C1386" s="3"/>
      <c r="E1386" s="3"/>
      <c r="G1386" s="3"/>
      <c r="I1386" s="3"/>
      <c r="K1386" s="3"/>
      <c r="M1386" s="3"/>
      <c r="O1386" s="3"/>
      <c r="Q1386" s="3"/>
      <c r="S1386" s="3"/>
      <c r="U1386" s="3"/>
      <c r="V1386" s="3"/>
      <c r="W1386" s="3"/>
      <c r="X1386" s="3"/>
      <c r="Y1386" s="3"/>
    </row>
    <row r="1387" spans="3:25" x14ac:dyDescent="0.2">
      <c r="C1387" s="3"/>
      <c r="E1387" s="3"/>
      <c r="G1387" s="3"/>
      <c r="I1387" s="3"/>
      <c r="K1387" s="3"/>
      <c r="M1387" s="3"/>
      <c r="O1387" s="3"/>
      <c r="Q1387" s="3"/>
      <c r="S1387" s="3"/>
      <c r="U1387" s="3"/>
      <c r="V1387" s="3"/>
      <c r="W1387" s="3"/>
      <c r="X1387" s="3"/>
      <c r="Y1387" s="3"/>
    </row>
    <row r="1388" spans="3:25" x14ac:dyDescent="0.2">
      <c r="C1388" s="3"/>
      <c r="E1388" s="3"/>
      <c r="G1388" s="3"/>
      <c r="I1388" s="3"/>
      <c r="K1388" s="3"/>
      <c r="M1388" s="3"/>
      <c r="O1388" s="3"/>
      <c r="Q1388" s="3"/>
      <c r="S1388" s="3"/>
      <c r="U1388" s="3"/>
      <c r="V1388" s="3"/>
      <c r="W1388" s="3"/>
      <c r="X1388" s="3"/>
      <c r="Y1388" s="3"/>
    </row>
    <row r="1389" spans="3:25" x14ac:dyDescent="0.2">
      <c r="C1389" s="3"/>
      <c r="E1389" s="3"/>
      <c r="G1389" s="3"/>
      <c r="I1389" s="3"/>
      <c r="K1389" s="3"/>
      <c r="M1389" s="3"/>
      <c r="O1389" s="3"/>
      <c r="Q1389" s="3"/>
      <c r="S1389" s="3"/>
      <c r="U1389" s="3"/>
      <c r="V1389" s="3"/>
      <c r="W1389" s="3"/>
      <c r="X1389" s="3"/>
      <c r="Y1389" s="3"/>
    </row>
    <row r="1390" spans="3:25" x14ac:dyDescent="0.2">
      <c r="C1390" s="3"/>
      <c r="E1390" s="3"/>
      <c r="G1390" s="3"/>
      <c r="I1390" s="3"/>
      <c r="K1390" s="3"/>
      <c r="M1390" s="3"/>
      <c r="O1390" s="3"/>
      <c r="Q1390" s="3"/>
      <c r="S1390" s="3"/>
      <c r="U1390" s="3"/>
      <c r="V1390" s="3"/>
      <c r="W1390" s="3"/>
      <c r="X1390" s="3"/>
      <c r="Y1390" s="3"/>
    </row>
    <row r="1391" spans="3:25" x14ac:dyDescent="0.2">
      <c r="C1391" s="3"/>
      <c r="E1391" s="3"/>
      <c r="G1391" s="3"/>
      <c r="I1391" s="3"/>
      <c r="K1391" s="3"/>
      <c r="M1391" s="3"/>
      <c r="O1391" s="3"/>
      <c r="Q1391" s="3"/>
      <c r="S1391" s="3"/>
      <c r="U1391" s="3"/>
      <c r="V1391" s="3"/>
      <c r="W1391" s="3"/>
      <c r="X1391" s="3"/>
      <c r="Y1391" s="3"/>
    </row>
    <row r="1392" spans="3:25" x14ac:dyDescent="0.2">
      <c r="C1392" s="3"/>
      <c r="E1392" s="3"/>
      <c r="G1392" s="3"/>
      <c r="I1392" s="3"/>
      <c r="K1392" s="3"/>
      <c r="M1392" s="3"/>
      <c r="O1392" s="3"/>
      <c r="Q1392" s="3"/>
      <c r="S1392" s="3"/>
      <c r="U1392" s="3"/>
      <c r="V1392" s="3"/>
      <c r="W1392" s="3"/>
      <c r="X1392" s="3"/>
      <c r="Y1392" s="3"/>
    </row>
    <row r="1393" spans="3:25" x14ac:dyDescent="0.2">
      <c r="C1393" s="3"/>
      <c r="E1393" s="3"/>
      <c r="G1393" s="3"/>
      <c r="I1393" s="3"/>
      <c r="K1393" s="3"/>
      <c r="M1393" s="3"/>
      <c r="O1393" s="3"/>
      <c r="Q1393" s="3"/>
      <c r="S1393" s="3"/>
      <c r="U1393" s="3"/>
      <c r="V1393" s="3"/>
      <c r="W1393" s="3"/>
      <c r="X1393" s="3"/>
      <c r="Y1393" s="3"/>
    </row>
    <row r="1394" spans="3:25" x14ac:dyDescent="0.2">
      <c r="C1394" s="3"/>
      <c r="E1394" s="3"/>
      <c r="G1394" s="3"/>
      <c r="I1394" s="3"/>
      <c r="K1394" s="3"/>
      <c r="M1394" s="3"/>
      <c r="O1394" s="3"/>
      <c r="Q1394" s="3"/>
      <c r="S1394" s="3"/>
      <c r="U1394" s="3"/>
      <c r="V1394" s="3"/>
      <c r="W1394" s="3"/>
      <c r="X1394" s="3"/>
      <c r="Y1394" s="3"/>
    </row>
    <row r="1395" spans="3:25" x14ac:dyDescent="0.2">
      <c r="C1395" s="3"/>
      <c r="E1395" s="3"/>
      <c r="G1395" s="3"/>
      <c r="I1395" s="3"/>
      <c r="K1395" s="3"/>
      <c r="M1395" s="3"/>
      <c r="O1395" s="3"/>
      <c r="Q1395" s="3"/>
      <c r="S1395" s="3"/>
      <c r="U1395" s="3"/>
      <c r="V1395" s="3"/>
      <c r="W1395" s="3"/>
      <c r="X1395" s="3"/>
      <c r="Y1395" s="3"/>
    </row>
    <row r="1396" spans="3:25" x14ac:dyDescent="0.2">
      <c r="C1396" s="3"/>
      <c r="E1396" s="3"/>
      <c r="G1396" s="3"/>
      <c r="I1396" s="3"/>
      <c r="K1396" s="3"/>
      <c r="M1396" s="3"/>
      <c r="O1396" s="3"/>
      <c r="Q1396" s="3"/>
      <c r="S1396" s="3"/>
      <c r="U1396" s="3"/>
      <c r="V1396" s="3"/>
      <c r="W1396" s="3"/>
      <c r="X1396" s="3"/>
      <c r="Y1396" s="3"/>
    </row>
    <row r="1397" spans="3:25" x14ac:dyDescent="0.2">
      <c r="C1397" s="3"/>
      <c r="E1397" s="3"/>
      <c r="G1397" s="3"/>
      <c r="I1397" s="3"/>
      <c r="K1397" s="3"/>
      <c r="M1397" s="3"/>
      <c r="O1397" s="3"/>
      <c r="Q1397" s="3"/>
      <c r="S1397" s="3"/>
      <c r="U1397" s="3"/>
      <c r="V1397" s="3"/>
      <c r="W1397" s="3"/>
      <c r="X1397" s="3"/>
      <c r="Y1397" s="3"/>
    </row>
    <row r="1398" spans="3:25" x14ac:dyDescent="0.2">
      <c r="C1398" s="3"/>
      <c r="E1398" s="3"/>
      <c r="G1398" s="3"/>
      <c r="I1398" s="3"/>
      <c r="K1398" s="3"/>
      <c r="M1398" s="3"/>
      <c r="O1398" s="3"/>
      <c r="Q1398" s="3"/>
      <c r="S1398" s="3"/>
      <c r="U1398" s="3"/>
      <c r="V1398" s="3"/>
      <c r="W1398" s="3"/>
      <c r="X1398" s="3"/>
      <c r="Y1398" s="3"/>
    </row>
    <row r="1399" spans="3:25" x14ac:dyDescent="0.2">
      <c r="C1399" s="3"/>
      <c r="E1399" s="3"/>
      <c r="G1399" s="3"/>
      <c r="I1399" s="3"/>
      <c r="K1399" s="3"/>
      <c r="M1399" s="3"/>
      <c r="O1399" s="3"/>
      <c r="Q1399" s="3"/>
      <c r="S1399" s="3"/>
      <c r="U1399" s="3"/>
      <c r="V1399" s="3"/>
      <c r="W1399" s="3"/>
      <c r="X1399" s="3"/>
      <c r="Y1399" s="3"/>
    </row>
    <row r="1400" spans="3:25" x14ac:dyDescent="0.2">
      <c r="C1400" s="3"/>
      <c r="E1400" s="3"/>
      <c r="G1400" s="3"/>
      <c r="I1400" s="3"/>
      <c r="K1400" s="3"/>
      <c r="M1400" s="3"/>
      <c r="O1400" s="3"/>
      <c r="Q1400" s="3"/>
      <c r="S1400" s="3"/>
      <c r="U1400" s="3"/>
      <c r="V1400" s="3"/>
      <c r="W1400" s="3"/>
      <c r="X1400" s="3"/>
      <c r="Y1400" s="3"/>
    </row>
    <row r="1401" spans="3:25" x14ac:dyDescent="0.2">
      <c r="C1401" s="3"/>
      <c r="E1401" s="3"/>
      <c r="G1401" s="3"/>
      <c r="I1401" s="3"/>
      <c r="K1401" s="3"/>
      <c r="M1401" s="3"/>
      <c r="O1401" s="3"/>
      <c r="Q1401" s="3"/>
      <c r="S1401" s="3"/>
      <c r="U1401" s="3"/>
      <c r="V1401" s="3"/>
      <c r="W1401" s="3"/>
      <c r="X1401" s="3"/>
      <c r="Y1401" s="3"/>
    </row>
    <row r="1402" spans="3:25" x14ac:dyDescent="0.2">
      <c r="C1402" s="3"/>
      <c r="E1402" s="3"/>
      <c r="G1402" s="3"/>
      <c r="I1402" s="3"/>
      <c r="K1402" s="3"/>
      <c r="M1402" s="3"/>
      <c r="O1402" s="3"/>
      <c r="Q1402" s="3"/>
      <c r="S1402" s="3"/>
      <c r="U1402" s="3"/>
      <c r="V1402" s="3"/>
      <c r="W1402" s="3"/>
      <c r="X1402" s="3"/>
      <c r="Y1402" s="3"/>
    </row>
    <row r="1403" spans="3:25" x14ac:dyDescent="0.2">
      <c r="C1403" s="3"/>
      <c r="E1403" s="3"/>
      <c r="G1403" s="3"/>
      <c r="I1403" s="3"/>
      <c r="K1403" s="3"/>
      <c r="M1403" s="3"/>
      <c r="O1403" s="3"/>
      <c r="Q1403" s="3"/>
      <c r="S1403" s="3"/>
      <c r="U1403" s="3"/>
      <c r="V1403" s="3"/>
      <c r="W1403" s="3"/>
      <c r="X1403" s="3"/>
      <c r="Y1403" s="3"/>
    </row>
    <row r="1404" spans="3:25" x14ac:dyDescent="0.2">
      <c r="C1404" s="3"/>
      <c r="E1404" s="3"/>
      <c r="G1404" s="3"/>
      <c r="I1404" s="3"/>
      <c r="K1404" s="3"/>
      <c r="M1404" s="3"/>
      <c r="O1404" s="3"/>
      <c r="Q1404" s="3"/>
      <c r="S1404" s="3"/>
      <c r="U1404" s="3"/>
      <c r="V1404" s="3"/>
      <c r="W1404" s="3"/>
      <c r="X1404" s="3"/>
      <c r="Y1404" s="3"/>
    </row>
    <row r="1405" spans="3:25" x14ac:dyDescent="0.2">
      <c r="C1405" s="3"/>
      <c r="E1405" s="3"/>
      <c r="G1405" s="3"/>
      <c r="I1405" s="3"/>
      <c r="K1405" s="3"/>
      <c r="M1405" s="3"/>
      <c r="O1405" s="3"/>
      <c r="Q1405" s="3"/>
      <c r="S1405" s="3"/>
      <c r="U1405" s="3"/>
      <c r="V1405" s="3"/>
      <c r="W1405" s="3"/>
      <c r="X1405" s="3"/>
      <c r="Y1405" s="3"/>
    </row>
    <row r="1406" spans="3:25" x14ac:dyDescent="0.2">
      <c r="C1406" s="3"/>
      <c r="E1406" s="3"/>
      <c r="G1406" s="3"/>
      <c r="I1406" s="3"/>
      <c r="K1406" s="3"/>
      <c r="M1406" s="3"/>
      <c r="O1406" s="3"/>
      <c r="Q1406" s="3"/>
      <c r="S1406" s="3"/>
      <c r="U1406" s="3"/>
      <c r="V1406" s="3"/>
      <c r="W1406" s="3"/>
      <c r="X1406" s="3"/>
      <c r="Y1406" s="3"/>
    </row>
    <row r="1407" spans="3:25" x14ac:dyDescent="0.2">
      <c r="C1407" s="3"/>
      <c r="E1407" s="3"/>
      <c r="G1407" s="3"/>
      <c r="I1407" s="3"/>
      <c r="K1407" s="3"/>
      <c r="M1407" s="3"/>
      <c r="O1407" s="3"/>
      <c r="Q1407" s="3"/>
      <c r="S1407" s="3"/>
      <c r="U1407" s="3"/>
      <c r="V1407" s="3"/>
      <c r="W1407" s="3"/>
      <c r="X1407" s="3"/>
      <c r="Y1407" s="3"/>
    </row>
    <row r="1408" spans="3:25" x14ac:dyDescent="0.2">
      <c r="C1408" s="3"/>
      <c r="E1408" s="3"/>
      <c r="G1408" s="3"/>
      <c r="I1408" s="3"/>
      <c r="K1408" s="3"/>
      <c r="M1408" s="3"/>
      <c r="O1408" s="3"/>
      <c r="Q1408" s="3"/>
      <c r="S1408" s="3"/>
      <c r="U1408" s="3"/>
      <c r="V1408" s="3"/>
      <c r="W1408" s="3"/>
      <c r="X1408" s="3"/>
      <c r="Y1408" s="3"/>
    </row>
    <row r="1409" spans="3:25" x14ac:dyDescent="0.2">
      <c r="C1409" s="3"/>
      <c r="E1409" s="3"/>
      <c r="G1409" s="3"/>
      <c r="I1409" s="3"/>
      <c r="K1409" s="3"/>
      <c r="M1409" s="3"/>
      <c r="O1409" s="3"/>
      <c r="Q1409" s="3"/>
      <c r="S1409" s="3"/>
      <c r="U1409" s="3"/>
      <c r="V1409" s="3"/>
      <c r="W1409" s="3"/>
      <c r="X1409" s="3"/>
      <c r="Y1409" s="3"/>
    </row>
    <row r="1410" spans="3:25" x14ac:dyDescent="0.2">
      <c r="C1410" s="3"/>
      <c r="E1410" s="3"/>
      <c r="G1410" s="3"/>
      <c r="I1410" s="3"/>
      <c r="K1410" s="3"/>
      <c r="M1410" s="3"/>
      <c r="O1410" s="3"/>
      <c r="Q1410" s="3"/>
      <c r="S1410" s="3"/>
      <c r="U1410" s="3"/>
      <c r="V1410" s="3"/>
      <c r="W1410" s="3"/>
      <c r="X1410" s="3"/>
      <c r="Y1410" s="3"/>
    </row>
    <row r="1411" spans="3:25" x14ac:dyDescent="0.2">
      <c r="C1411" s="3"/>
      <c r="E1411" s="3"/>
      <c r="G1411" s="3"/>
      <c r="I1411" s="3"/>
      <c r="K1411" s="3"/>
      <c r="M1411" s="3"/>
      <c r="O1411" s="3"/>
      <c r="Q1411" s="3"/>
      <c r="S1411" s="3"/>
      <c r="U1411" s="3"/>
      <c r="V1411" s="3"/>
      <c r="W1411" s="3"/>
      <c r="X1411" s="3"/>
      <c r="Y1411" s="3"/>
    </row>
    <row r="1412" spans="3:25" x14ac:dyDescent="0.2">
      <c r="C1412" s="3"/>
      <c r="E1412" s="3"/>
      <c r="G1412" s="3"/>
      <c r="I1412" s="3"/>
      <c r="K1412" s="3"/>
      <c r="M1412" s="3"/>
      <c r="O1412" s="3"/>
      <c r="Q1412" s="3"/>
      <c r="S1412" s="3"/>
      <c r="U1412" s="3"/>
      <c r="V1412" s="3"/>
      <c r="W1412" s="3"/>
      <c r="X1412" s="3"/>
      <c r="Y1412" s="3"/>
    </row>
    <row r="1413" spans="3:25" x14ac:dyDescent="0.2">
      <c r="C1413" s="3"/>
      <c r="E1413" s="3"/>
      <c r="G1413" s="3"/>
      <c r="I1413" s="3"/>
      <c r="K1413" s="3"/>
      <c r="M1413" s="3"/>
      <c r="O1413" s="3"/>
      <c r="Q1413" s="3"/>
      <c r="S1413" s="3"/>
      <c r="U1413" s="3"/>
      <c r="V1413" s="3"/>
      <c r="W1413" s="3"/>
      <c r="X1413" s="3"/>
      <c r="Y1413" s="3"/>
    </row>
    <row r="1414" spans="3:25" x14ac:dyDescent="0.2">
      <c r="C1414" s="3"/>
      <c r="E1414" s="3"/>
      <c r="G1414" s="3"/>
      <c r="I1414" s="3"/>
      <c r="K1414" s="3"/>
      <c r="M1414" s="3"/>
      <c r="O1414" s="3"/>
      <c r="Q1414" s="3"/>
      <c r="S1414" s="3"/>
      <c r="U1414" s="3"/>
      <c r="V1414" s="3"/>
      <c r="W1414" s="3"/>
      <c r="X1414" s="3"/>
      <c r="Y1414" s="3"/>
    </row>
    <row r="1415" spans="3:25" x14ac:dyDescent="0.2">
      <c r="C1415" s="3"/>
      <c r="E1415" s="3"/>
      <c r="G1415" s="3"/>
      <c r="I1415" s="3"/>
      <c r="K1415" s="3"/>
      <c r="M1415" s="3"/>
      <c r="O1415" s="3"/>
      <c r="Q1415" s="3"/>
      <c r="S1415" s="3"/>
      <c r="U1415" s="3"/>
      <c r="V1415" s="3"/>
      <c r="W1415" s="3"/>
      <c r="X1415" s="3"/>
      <c r="Y1415" s="3"/>
    </row>
    <row r="1416" spans="3:25" x14ac:dyDescent="0.2">
      <c r="C1416" s="3"/>
      <c r="E1416" s="3"/>
      <c r="G1416" s="3"/>
      <c r="I1416" s="3"/>
      <c r="K1416" s="3"/>
      <c r="M1416" s="3"/>
      <c r="O1416" s="3"/>
      <c r="Q1416" s="3"/>
      <c r="S1416" s="3"/>
      <c r="U1416" s="3"/>
      <c r="V1416" s="3"/>
      <c r="W1416" s="3"/>
      <c r="X1416" s="3"/>
      <c r="Y1416" s="3"/>
    </row>
    <row r="1417" spans="3:25" x14ac:dyDescent="0.2">
      <c r="C1417" s="3"/>
      <c r="E1417" s="3"/>
      <c r="G1417" s="3"/>
      <c r="I1417" s="3"/>
      <c r="K1417" s="3"/>
      <c r="M1417" s="3"/>
      <c r="O1417" s="3"/>
      <c r="Q1417" s="3"/>
      <c r="S1417" s="3"/>
      <c r="U1417" s="3"/>
      <c r="V1417" s="3"/>
      <c r="W1417" s="3"/>
      <c r="X1417" s="3"/>
      <c r="Y1417" s="3"/>
    </row>
    <row r="1418" spans="3:25" x14ac:dyDescent="0.2">
      <c r="C1418" s="3"/>
      <c r="E1418" s="3"/>
      <c r="G1418" s="3"/>
      <c r="I1418" s="3"/>
      <c r="K1418" s="3"/>
      <c r="M1418" s="3"/>
      <c r="O1418" s="3"/>
      <c r="Q1418" s="3"/>
      <c r="S1418" s="3"/>
      <c r="U1418" s="3"/>
      <c r="V1418" s="3"/>
      <c r="W1418" s="3"/>
      <c r="X1418" s="3"/>
      <c r="Y1418" s="3"/>
    </row>
    <row r="1419" spans="3:25" x14ac:dyDescent="0.2">
      <c r="C1419" s="3"/>
      <c r="E1419" s="3"/>
      <c r="G1419" s="3"/>
      <c r="I1419" s="3"/>
      <c r="K1419" s="3"/>
      <c r="M1419" s="3"/>
      <c r="O1419" s="3"/>
      <c r="Q1419" s="3"/>
      <c r="S1419" s="3"/>
      <c r="U1419" s="3"/>
      <c r="V1419" s="3"/>
      <c r="W1419" s="3"/>
      <c r="X1419" s="3"/>
      <c r="Y1419" s="3"/>
    </row>
    <row r="1420" spans="3:25" x14ac:dyDescent="0.2">
      <c r="C1420" s="3"/>
      <c r="E1420" s="3"/>
      <c r="G1420" s="3"/>
      <c r="I1420" s="3"/>
      <c r="K1420" s="3"/>
      <c r="M1420" s="3"/>
      <c r="O1420" s="3"/>
      <c r="Q1420" s="3"/>
      <c r="S1420" s="3"/>
      <c r="U1420" s="3"/>
      <c r="V1420" s="3"/>
      <c r="W1420" s="3"/>
      <c r="X1420" s="3"/>
      <c r="Y1420" s="3"/>
    </row>
    <row r="1421" spans="3:25" x14ac:dyDescent="0.2">
      <c r="C1421" s="3"/>
      <c r="E1421" s="3"/>
      <c r="G1421" s="3"/>
      <c r="I1421" s="3"/>
      <c r="K1421" s="3"/>
      <c r="M1421" s="3"/>
      <c r="O1421" s="3"/>
      <c r="Q1421" s="3"/>
      <c r="S1421" s="3"/>
      <c r="U1421" s="3"/>
      <c r="V1421" s="3"/>
      <c r="W1421" s="3"/>
      <c r="X1421" s="3"/>
      <c r="Y1421" s="3"/>
    </row>
    <row r="1422" spans="3:25" x14ac:dyDescent="0.2">
      <c r="C1422" s="3"/>
      <c r="E1422" s="3"/>
      <c r="G1422" s="3"/>
      <c r="I1422" s="3"/>
      <c r="K1422" s="3"/>
      <c r="M1422" s="3"/>
      <c r="O1422" s="3"/>
      <c r="Q1422" s="3"/>
      <c r="S1422" s="3"/>
      <c r="U1422" s="3"/>
      <c r="V1422" s="3"/>
      <c r="W1422" s="3"/>
      <c r="X1422" s="3"/>
      <c r="Y1422" s="3"/>
    </row>
    <row r="1423" spans="3:25" x14ac:dyDescent="0.2">
      <c r="C1423" s="3"/>
      <c r="E1423" s="3"/>
      <c r="G1423" s="3"/>
      <c r="I1423" s="3"/>
      <c r="K1423" s="3"/>
      <c r="M1423" s="3"/>
      <c r="O1423" s="3"/>
      <c r="Q1423" s="3"/>
      <c r="S1423" s="3"/>
      <c r="U1423" s="3"/>
      <c r="V1423" s="3"/>
      <c r="W1423" s="3"/>
      <c r="X1423" s="3"/>
      <c r="Y1423" s="3"/>
    </row>
    <row r="1424" spans="3:25" x14ac:dyDescent="0.2">
      <c r="C1424" s="3"/>
      <c r="E1424" s="3"/>
      <c r="G1424" s="3"/>
      <c r="I1424" s="3"/>
      <c r="K1424" s="3"/>
      <c r="M1424" s="3"/>
      <c r="O1424" s="3"/>
      <c r="Q1424" s="3"/>
      <c r="S1424" s="3"/>
      <c r="U1424" s="3"/>
      <c r="V1424" s="3"/>
      <c r="W1424" s="3"/>
      <c r="X1424" s="3"/>
      <c r="Y1424" s="3"/>
    </row>
    <row r="1425" spans="3:25" x14ac:dyDescent="0.2">
      <c r="C1425" s="3"/>
      <c r="E1425" s="3"/>
      <c r="G1425" s="3"/>
      <c r="I1425" s="3"/>
      <c r="K1425" s="3"/>
      <c r="M1425" s="3"/>
      <c r="O1425" s="3"/>
      <c r="Q1425" s="3"/>
      <c r="S1425" s="3"/>
      <c r="U1425" s="3"/>
      <c r="V1425" s="3"/>
      <c r="W1425" s="3"/>
      <c r="X1425" s="3"/>
      <c r="Y1425" s="3"/>
    </row>
    <row r="1426" spans="3:25" x14ac:dyDescent="0.2">
      <c r="C1426" s="3"/>
      <c r="E1426" s="3"/>
      <c r="G1426" s="3"/>
      <c r="I1426" s="3"/>
      <c r="K1426" s="3"/>
      <c r="M1426" s="3"/>
      <c r="O1426" s="3"/>
      <c r="Q1426" s="3"/>
      <c r="S1426" s="3"/>
      <c r="U1426" s="3"/>
      <c r="V1426" s="3"/>
      <c r="W1426" s="3"/>
      <c r="X1426" s="3"/>
      <c r="Y1426" s="3"/>
    </row>
    <row r="1427" spans="3:25" x14ac:dyDescent="0.2">
      <c r="C1427" s="3"/>
      <c r="E1427" s="3"/>
      <c r="G1427" s="3"/>
      <c r="I1427" s="3"/>
      <c r="K1427" s="3"/>
      <c r="M1427" s="3"/>
      <c r="O1427" s="3"/>
      <c r="Q1427" s="3"/>
      <c r="S1427" s="3"/>
      <c r="U1427" s="3"/>
      <c r="V1427" s="3"/>
      <c r="W1427" s="3"/>
      <c r="X1427" s="3"/>
      <c r="Y1427" s="3"/>
    </row>
    <row r="1428" spans="3:25" x14ac:dyDescent="0.2">
      <c r="C1428" s="3"/>
      <c r="E1428" s="3"/>
      <c r="G1428" s="3"/>
      <c r="I1428" s="3"/>
      <c r="K1428" s="3"/>
      <c r="M1428" s="3"/>
      <c r="O1428" s="3"/>
      <c r="Q1428" s="3"/>
      <c r="S1428" s="3"/>
      <c r="U1428" s="3"/>
      <c r="V1428" s="3"/>
      <c r="W1428" s="3"/>
      <c r="X1428" s="3"/>
      <c r="Y1428" s="3"/>
    </row>
    <row r="1429" spans="3:25" x14ac:dyDescent="0.2">
      <c r="C1429" s="3"/>
      <c r="E1429" s="3"/>
      <c r="G1429" s="3"/>
      <c r="I1429" s="3"/>
      <c r="K1429" s="3"/>
      <c r="M1429" s="3"/>
      <c r="O1429" s="3"/>
      <c r="Q1429" s="3"/>
      <c r="S1429" s="3"/>
      <c r="U1429" s="3"/>
      <c r="V1429" s="3"/>
      <c r="W1429" s="3"/>
      <c r="X1429" s="3"/>
      <c r="Y1429" s="3"/>
    </row>
    <row r="1430" spans="3:25" x14ac:dyDescent="0.2">
      <c r="C1430" s="3"/>
      <c r="E1430" s="3"/>
      <c r="G1430" s="3"/>
      <c r="I1430" s="3"/>
      <c r="K1430" s="3"/>
      <c r="M1430" s="3"/>
      <c r="O1430" s="3"/>
      <c r="Q1430" s="3"/>
      <c r="S1430" s="3"/>
      <c r="U1430" s="3"/>
      <c r="V1430" s="3"/>
      <c r="W1430" s="3"/>
      <c r="X1430" s="3"/>
      <c r="Y1430" s="3"/>
    </row>
    <row r="1431" spans="3:25" x14ac:dyDescent="0.2">
      <c r="C1431" s="3"/>
      <c r="E1431" s="3"/>
      <c r="G1431" s="3"/>
      <c r="I1431" s="3"/>
      <c r="K1431" s="3"/>
      <c r="M1431" s="3"/>
      <c r="O1431" s="3"/>
      <c r="Q1431" s="3"/>
      <c r="S1431" s="3"/>
      <c r="U1431" s="3"/>
      <c r="V1431" s="3"/>
      <c r="W1431" s="3"/>
      <c r="X1431" s="3"/>
      <c r="Y1431" s="3"/>
    </row>
    <row r="1432" spans="3:25" x14ac:dyDescent="0.2">
      <c r="C1432" s="3"/>
      <c r="E1432" s="3"/>
      <c r="G1432" s="3"/>
      <c r="I1432" s="3"/>
      <c r="K1432" s="3"/>
      <c r="M1432" s="3"/>
      <c r="O1432" s="3"/>
      <c r="Q1432" s="3"/>
      <c r="S1432" s="3"/>
      <c r="U1432" s="3"/>
      <c r="V1432" s="3"/>
      <c r="W1432" s="3"/>
      <c r="X1432" s="3"/>
      <c r="Y1432" s="3"/>
    </row>
    <row r="1433" spans="3:25" x14ac:dyDescent="0.2">
      <c r="C1433" s="3"/>
      <c r="E1433" s="3"/>
      <c r="G1433" s="3"/>
      <c r="I1433" s="3"/>
      <c r="K1433" s="3"/>
      <c r="M1433" s="3"/>
      <c r="O1433" s="3"/>
      <c r="Q1433" s="3"/>
      <c r="S1433" s="3"/>
      <c r="U1433" s="3"/>
      <c r="V1433" s="3"/>
      <c r="W1433" s="3"/>
      <c r="X1433" s="3"/>
      <c r="Y1433" s="3"/>
    </row>
    <row r="1434" spans="3:25" x14ac:dyDescent="0.2">
      <c r="C1434" s="3"/>
      <c r="E1434" s="3"/>
      <c r="G1434" s="3"/>
      <c r="I1434" s="3"/>
      <c r="K1434" s="3"/>
      <c r="M1434" s="3"/>
      <c r="O1434" s="3"/>
      <c r="Q1434" s="3"/>
      <c r="S1434" s="3"/>
      <c r="U1434" s="3"/>
      <c r="V1434" s="3"/>
      <c r="W1434" s="3"/>
      <c r="X1434" s="3"/>
      <c r="Y1434" s="3"/>
    </row>
    <row r="1435" spans="3:25" x14ac:dyDescent="0.2">
      <c r="C1435" s="3"/>
      <c r="E1435" s="3"/>
      <c r="G1435" s="3"/>
      <c r="I1435" s="3"/>
      <c r="K1435" s="3"/>
      <c r="M1435" s="3"/>
      <c r="O1435" s="3"/>
      <c r="Q1435" s="3"/>
      <c r="S1435" s="3"/>
      <c r="U1435" s="3"/>
      <c r="V1435" s="3"/>
      <c r="W1435" s="3"/>
      <c r="X1435" s="3"/>
      <c r="Y1435" s="3"/>
    </row>
    <row r="1436" spans="3:25" x14ac:dyDescent="0.2">
      <c r="C1436" s="3"/>
      <c r="E1436" s="3"/>
      <c r="G1436" s="3"/>
      <c r="I1436" s="3"/>
      <c r="K1436" s="3"/>
      <c r="M1436" s="3"/>
      <c r="O1436" s="3"/>
      <c r="Q1436" s="3"/>
      <c r="S1436" s="3"/>
      <c r="U1436" s="3"/>
      <c r="V1436" s="3"/>
      <c r="W1436" s="3"/>
      <c r="X1436" s="3"/>
      <c r="Y1436" s="3"/>
    </row>
    <row r="1437" spans="3:25" x14ac:dyDescent="0.2">
      <c r="C1437" s="3"/>
      <c r="E1437" s="3"/>
      <c r="G1437" s="3"/>
      <c r="I1437" s="3"/>
      <c r="K1437" s="3"/>
      <c r="M1437" s="3"/>
      <c r="O1437" s="3"/>
      <c r="Q1437" s="3"/>
      <c r="S1437" s="3"/>
      <c r="U1437" s="3"/>
      <c r="V1437" s="3"/>
      <c r="W1437" s="3"/>
      <c r="X1437" s="3"/>
      <c r="Y1437" s="3"/>
    </row>
    <row r="1438" spans="3:25" x14ac:dyDescent="0.2">
      <c r="C1438" s="3"/>
      <c r="E1438" s="3"/>
      <c r="G1438" s="3"/>
      <c r="I1438" s="3"/>
      <c r="K1438" s="3"/>
      <c r="M1438" s="3"/>
      <c r="O1438" s="3"/>
      <c r="Q1438" s="3"/>
      <c r="S1438" s="3"/>
      <c r="U1438" s="3"/>
      <c r="V1438" s="3"/>
      <c r="W1438" s="3"/>
      <c r="X1438" s="3"/>
      <c r="Y1438" s="3"/>
    </row>
    <row r="1439" spans="3:25" x14ac:dyDescent="0.2">
      <c r="C1439" s="3"/>
      <c r="E1439" s="3"/>
      <c r="G1439" s="3"/>
      <c r="I1439" s="3"/>
      <c r="K1439" s="3"/>
      <c r="M1439" s="3"/>
      <c r="O1439" s="3"/>
      <c r="Q1439" s="3"/>
      <c r="S1439" s="3"/>
      <c r="U1439" s="3"/>
      <c r="V1439" s="3"/>
      <c r="W1439" s="3"/>
      <c r="X1439" s="3"/>
      <c r="Y1439" s="3"/>
    </row>
    <row r="1440" spans="3:25" x14ac:dyDescent="0.2">
      <c r="C1440" s="3"/>
      <c r="E1440" s="3"/>
      <c r="G1440" s="3"/>
      <c r="I1440" s="3"/>
      <c r="K1440" s="3"/>
      <c r="M1440" s="3"/>
      <c r="O1440" s="3"/>
      <c r="Q1440" s="3"/>
      <c r="S1440" s="3"/>
      <c r="U1440" s="3"/>
      <c r="V1440" s="3"/>
      <c r="W1440" s="3"/>
      <c r="X1440" s="3"/>
      <c r="Y1440" s="3"/>
    </row>
    <row r="1441" spans="3:25" x14ac:dyDescent="0.2">
      <c r="C1441" s="3"/>
      <c r="E1441" s="3"/>
      <c r="G1441" s="3"/>
      <c r="I1441" s="3"/>
      <c r="K1441" s="3"/>
      <c r="M1441" s="3"/>
      <c r="O1441" s="3"/>
      <c r="Q1441" s="3"/>
      <c r="S1441" s="3"/>
      <c r="U1441" s="3"/>
      <c r="V1441" s="3"/>
      <c r="W1441" s="3"/>
      <c r="X1441" s="3"/>
      <c r="Y1441" s="3"/>
    </row>
    <row r="1442" spans="3:25" x14ac:dyDescent="0.2">
      <c r="C1442" s="3"/>
      <c r="E1442" s="3"/>
      <c r="G1442" s="3"/>
      <c r="I1442" s="3"/>
      <c r="K1442" s="3"/>
      <c r="M1442" s="3"/>
      <c r="O1442" s="3"/>
      <c r="Q1442" s="3"/>
      <c r="S1442" s="3"/>
      <c r="U1442" s="3"/>
      <c r="V1442" s="3"/>
      <c r="W1442" s="3"/>
      <c r="X1442" s="3"/>
      <c r="Y1442" s="3"/>
    </row>
    <row r="1443" spans="3:25" x14ac:dyDescent="0.2">
      <c r="C1443" s="3"/>
      <c r="E1443" s="3"/>
      <c r="G1443" s="3"/>
      <c r="I1443" s="3"/>
      <c r="K1443" s="3"/>
      <c r="M1443" s="3"/>
      <c r="O1443" s="3"/>
      <c r="Q1443" s="3"/>
      <c r="S1443" s="3"/>
      <c r="U1443" s="3"/>
      <c r="V1443" s="3"/>
      <c r="W1443" s="3"/>
      <c r="X1443" s="3"/>
      <c r="Y1443" s="3"/>
    </row>
    <row r="1444" spans="3:25" x14ac:dyDescent="0.2">
      <c r="C1444" s="3"/>
      <c r="E1444" s="3"/>
      <c r="G1444" s="3"/>
      <c r="I1444" s="3"/>
      <c r="K1444" s="3"/>
      <c r="M1444" s="3"/>
      <c r="O1444" s="3"/>
      <c r="Q1444" s="3"/>
      <c r="S1444" s="3"/>
      <c r="U1444" s="3"/>
      <c r="V1444" s="3"/>
      <c r="W1444" s="3"/>
      <c r="X1444" s="3"/>
      <c r="Y1444" s="3"/>
    </row>
    <row r="1445" spans="3:25" x14ac:dyDescent="0.2">
      <c r="C1445" s="3"/>
      <c r="E1445" s="3"/>
      <c r="G1445" s="3"/>
      <c r="I1445" s="3"/>
      <c r="K1445" s="3"/>
      <c r="M1445" s="3"/>
      <c r="O1445" s="3"/>
      <c r="Q1445" s="3"/>
      <c r="S1445" s="3"/>
      <c r="U1445" s="3"/>
      <c r="V1445" s="3"/>
      <c r="W1445" s="3"/>
      <c r="X1445" s="3"/>
      <c r="Y1445" s="3"/>
    </row>
    <row r="1446" spans="3:25" x14ac:dyDescent="0.2">
      <c r="C1446" s="3"/>
      <c r="E1446" s="3"/>
      <c r="G1446" s="3"/>
      <c r="I1446" s="3"/>
      <c r="K1446" s="3"/>
      <c r="M1446" s="3"/>
      <c r="O1446" s="3"/>
      <c r="Q1446" s="3"/>
      <c r="S1446" s="3"/>
      <c r="U1446" s="3"/>
      <c r="V1446" s="3"/>
      <c r="W1446" s="3"/>
      <c r="X1446" s="3"/>
      <c r="Y1446" s="3"/>
    </row>
    <row r="1447" spans="3:25" x14ac:dyDescent="0.2">
      <c r="C1447" s="3"/>
      <c r="E1447" s="3"/>
      <c r="G1447" s="3"/>
      <c r="I1447" s="3"/>
      <c r="K1447" s="3"/>
      <c r="M1447" s="3"/>
      <c r="O1447" s="3"/>
      <c r="Q1447" s="3"/>
      <c r="S1447" s="3"/>
      <c r="U1447" s="3"/>
      <c r="V1447" s="3"/>
      <c r="W1447" s="3"/>
      <c r="X1447" s="3"/>
      <c r="Y1447" s="3"/>
    </row>
    <row r="1448" spans="3:25" x14ac:dyDescent="0.2">
      <c r="C1448" s="3"/>
      <c r="E1448" s="3"/>
      <c r="G1448" s="3"/>
      <c r="I1448" s="3"/>
      <c r="K1448" s="3"/>
      <c r="M1448" s="3"/>
      <c r="O1448" s="3"/>
      <c r="Q1448" s="3"/>
      <c r="S1448" s="3"/>
      <c r="U1448" s="3"/>
      <c r="V1448" s="3"/>
      <c r="W1448" s="3"/>
      <c r="X1448" s="3"/>
      <c r="Y1448" s="3"/>
    </row>
    <row r="1449" spans="3:25" x14ac:dyDescent="0.2">
      <c r="C1449" s="3"/>
      <c r="E1449" s="3"/>
      <c r="G1449" s="3"/>
      <c r="I1449" s="3"/>
      <c r="K1449" s="3"/>
      <c r="M1449" s="3"/>
      <c r="O1449" s="3"/>
      <c r="Q1449" s="3"/>
      <c r="S1449" s="3"/>
      <c r="U1449" s="3"/>
      <c r="V1449" s="3"/>
      <c r="W1449" s="3"/>
      <c r="X1449" s="3"/>
      <c r="Y1449" s="3"/>
    </row>
    <row r="1450" spans="3:25" x14ac:dyDescent="0.2">
      <c r="C1450" s="3"/>
      <c r="E1450" s="3"/>
      <c r="G1450" s="3"/>
      <c r="I1450" s="3"/>
      <c r="K1450" s="3"/>
      <c r="M1450" s="3"/>
      <c r="O1450" s="3"/>
      <c r="Q1450" s="3"/>
      <c r="S1450" s="3"/>
      <c r="U1450" s="3"/>
      <c r="V1450" s="3"/>
      <c r="W1450" s="3"/>
      <c r="X1450" s="3"/>
      <c r="Y1450" s="3"/>
    </row>
    <row r="1451" spans="3:25" x14ac:dyDescent="0.2">
      <c r="C1451" s="3"/>
      <c r="E1451" s="3"/>
      <c r="G1451" s="3"/>
      <c r="I1451" s="3"/>
      <c r="K1451" s="3"/>
      <c r="M1451" s="3"/>
      <c r="O1451" s="3"/>
      <c r="Q1451" s="3"/>
      <c r="S1451" s="3"/>
      <c r="U1451" s="3"/>
      <c r="V1451" s="3"/>
      <c r="W1451" s="3"/>
      <c r="X1451" s="3"/>
      <c r="Y1451" s="3"/>
    </row>
    <row r="1452" spans="3:25" x14ac:dyDescent="0.2">
      <c r="C1452" s="3"/>
      <c r="E1452" s="3"/>
      <c r="G1452" s="3"/>
      <c r="I1452" s="3"/>
      <c r="K1452" s="3"/>
      <c r="M1452" s="3"/>
      <c r="O1452" s="3"/>
      <c r="Q1452" s="3"/>
      <c r="S1452" s="3"/>
      <c r="U1452" s="3"/>
      <c r="V1452" s="3"/>
      <c r="W1452" s="3"/>
      <c r="X1452" s="3"/>
      <c r="Y1452" s="3"/>
    </row>
    <row r="1453" spans="3:25" x14ac:dyDescent="0.2">
      <c r="C1453" s="3"/>
      <c r="E1453" s="3"/>
      <c r="G1453" s="3"/>
      <c r="I1453" s="3"/>
      <c r="K1453" s="3"/>
      <c r="M1453" s="3"/>
      <c r="O1453" s="3"/>
      <c r="Q1453" s="3"/>
      <c r="S1453" s="3"/>
      <c r="U1453" s="3"/>
      <c r="V1453" s="3"/>
      <c r="W1453" s="3"/>
      <c r="X1453" s="3"/>
      <c r="Y1453" s="3"/>
    </row>
    <row r="1454" spans="3:25" x14ac:dyDescent="0.2">
      <c r="C1454" s="3"/>
      <c r="E1454" s="3"/>
      <c r="G1454" s="3"/>
      <c r="I1454" s="3"/>
      <c r="K1454" s="3"/>
      <c r="M1454" s="3"/>
      <c r="O1454" s="3"/>
      <c r="Q1454" s="3"/>
      <c r="S1454" s="3"/>
      <c r="U1454" s="3"/>
      <c r="V1454" s="3"/>
      <c r="W1454" s="3"/>
      <c r="X1454" s="3"/>
      <c r="Y1454" s="3"/>
    </row>
    <row r="1455" spans="3:25" x14ac:dyDescent="0.2">
      <c r="C1455" s="3"/>
      <c r="E1455" s="3"/>
      <c r="G1455" s="3"/>
      <c r="I1455" s="3"/>
      <c r="K1455" s="3"/>
      <c r="M1455" s="3"/>
      <c r="O1455" s="3"/>
      <c r="Q1455" s="3"/>
      <c r="S1455" s="3"/>
      <c r="U1455" s="3"/>
      <c r="V1455" s="3"/>
      <c r="W1455" s="3"/>
      <c r="X1455" s="3"/>
      <c r="Y1455" s="3"/>
    </row>
    <row r="1456" spans="3:25" x14ac:dyDescent="0.2">
      <c r="C1456" s="3"/>
      <c r="E1456" s="3"/>
      <c r="G1456" s="3"/>
      <c r="I1456" s="3"/>
      <c r="K1456" s="3"/>
      <c r="M1456" s="3"/>
      <c r="O1456" s="3"/>
      <c r="Q1456" s="3"/>
      <c r="S1456" s="3"/>
      <c r="U1456" s="3"/>
      <c r="V1456" s="3"/>
      <c r="W1456" s="3"/>
      <c r="X1456" s="3"/>
      <c r="Y1456" s="3"/>
    </row>
    <row r="1457" spans="3:25" x14ac:dyDescent="0.2">
      <c r="C1457" s="3"/>
      <c r="E1457" s="3"/>
      <c r="G1457" s="3"/>
      <c r="I1457" s="3"/>
      <c r="K1457" s="3"/>
      <c r="M1457" s="3"/>
      <c r="O1457" s="3"/>
      <c r="Q1457" s="3"/>
      <c r="S1457" s="3"/>
      <c r="U1457" s="3"/>
      <c r="V1457" s="3"/>
      <c r="W1457" s="3"/>
      <c r="X1457" s="3"/>
      <c r="Y1457" s="3"/>
    </row>
    <row r="1458" spans="3:25" x14ac:dyDescent="0.2">
      <c r="C1458" s="3"/>
      <c r="E1458" s="3"/>
      <c r="G1458" s="3"/>
      <c r="I1458" s="3"/>
      <c r="K1458" s="3"/>
      <c r="M1458" s="3"/>
      <c r="O1458" s="3"/>
      <c r="Q1458" s="3"/>
      <c r="S1458" s="3"/>
      <c r="U1458" s="3"/>
      <c r="V1458" s="3"/>
      <c r="W1458" s="3"/>
      <c r="X1458" s="3"/>
      <c r="Y1458" s="3"/>
    </row>
    <row r="1459" spans="3:25" x14ac:dyDescent="0.2">
      <c r="C1459" s="3"/>
      <c r="E1459" s="3"/>
      <c r="G1459" s="3"/>
      <c r="I1459" s="3"/>
      <c r="K1459" s="3"/>
      <c r="M1459" s="3"/>
      <c r="O1459" s="3"/>
      <c r="Q1459" s="3"/>
      <c r="S1459" s="3"/>
      <c r="U1459" s="3"/>
      <c r="V1459" s="3"/>
      <c r="W1459" s="3"/>
      <c r="X1459" s="3"/>
      <c r="Y1459" s="3"/>
    </row>
    <row r="1460" spans="3:25" x14ac:dyDescent="0.2">
      <c r="C1460" s="3"/>
      <c r="E1460" s="3"/>
      <c r="G1460" s="3"/>
      <c r="I1460" s="3"/>
      <c r="K1460" s="3"/>
      <c r="M1460" s="3"/>
      <c r="O1460" s="3"/>
      <c r="Q1460" s="3"/>
      <c r="S1460" s="3"/>
      <c r="U1460" s="3"/>
      <c r="V1460" s="3"/>
      <c r="W1460" s="3"/>
      <c r="X1460" s="3"/>
      <c r="Y1460" s="3"/>
    </row>
    <row r="1461" spans="3:25" x14ac:dyDescent="0.2">
      <c r="C1461" s="3"/>
      <c r="E1461" s="3"/>
      <c r="G1461" s="3"/>
      <c r="I1461" s="3"/>
      <c r="K1461" s="3"/>
      <c r="M1461" s="3"/>
      <c r="O1461" s="3"/>
      <c r="Q1461" s="3"/>
      <c r="S1461" s="3"/>
      <c r="U1461" s="3"/>
      <c r="V1461" s="3"/>
      <c r="W1461" s="3"/>
      <c r="X1461" s="3"/>
      <c r="Y1461" s="3"/>
    </row>
    <row r="1462" spans="3:25" x14ac:dyDescent="0.2">
      <c r="C1462" s="3"/>
      <c r="E1462" s="3"/>
      <c r="G1462" s="3"/>
      <c r="I1462" s="3"/>
      <c r="K1462" s="3"/>
      <c r="M1462" s="3"/>
      <c r="O1462" s="3"/>
      <c r="Q1462" s="3"/>
      <c r="S1462" s="3"/>
      <c r="U1462" s="3"/>
      <c r="V1462" s="3"/>
      <c r="W1462" s="3"/>
      <c r="X1462" s="3"/>
      <c r="Y1462" s="3"/>
    </row>
    <row r="1463" spans="3:25" x14ac:dyDescent="0.2">
      <c r="C1463" s="3"/>
      <c r="E1463" s="3"/>
      <c r="G1463" s="3"/>
      <c r="I1463" s="3"/>
      <c r="K1463" s="3"/>
      <c r="M1463" s="3"/>
      <c r="O1463" s="3"/>
      <c r="Q1463" s="3"/>
      <c r="S1463" s="3"/>
      <c r="U1463" s="3"/>
      <c r="V1463" s="3"/>
      <c r="W1463" s="3"/>
      <c r="X1463" s="3"/>
      <c r="Y1463" s="3"/>
    </row>
    <row r="1464" spans="3:25" x14ac:dyDescent="0.2">
      <c r="C1464" s="3"/>
      <c r="E1464" s="3"/>
      <c r="G1464" s="3"/>
      <c r="I1464" s="3"/>
      <c r="K1464" s="3"/>
      <c r="M1464" s="3"/>
      <c r="O1464" s="3"/>
      <c r="Q1464" s="3"/>
      <c r="S1464" s="3"/>
      <c r="U1464" s="3"/>
      <c r="V1464" s="3"/>
      <c r="W1464" s="3"/>
      <c r="X1464" s="3"/>
      <c r="Y1464" s="3"/>
    </row>
    <row r="1465" spans="3:25" x14ac:dyDescent="0.2">
      <c r="C1465" s="3"/>
      <c r="E1465" s="3"/>
      <c r="G1465" s="3"/>
      <c r="I1465" s="3"/>
      <c r="K1465" s="3"/>
      <c r="M1465" s="3"/>
      <c r="O1465" s="3"/>
      <c r="Q1465" s="3"/>
      <c r="S1465" s="3"/>
      <c r="U1465" s="3"/>
      <c r="V1465" s="3"/>
      <c r="W1465" s="3"/>
      <c r="X1465" s="3"/>
      <c r="Y1465" s="3"/>
    </row>
    <row r="1466" spans="3:25" x14ac:dyDescent="0.2">
      <c r="C1466" s="3"/>
      <c r="E1466" s="3"/>
      <c r="G1466" s="3"/>
      <c r="I1466" s="3"/>
      <c r="K1466" s="3"/>
      <c r="M1466" s="3"/>
      <c r="O1466" s="3"/>
      <c r="Q1466" s="3"/>
      <c r="S1466" s="3"/>
      <c r="U1466" s="3"/>
      <c r="V1466" s="3"/>
      <c r="W1466" s="3"/>
      <c r="X1466" s="3"/>
      <c r="Y1466" s="3"/>
    </row>
    <row r="1467" spans="3:25" x14ac:dyDescent="0.2">
      <c r="C1467" s="3"/>
      <c r="E1467" s="3"/>
      <c r="G1467" s="3"/>
      <c r="I1467" s="3"/>
      <c r="K1467" s="3"/>
      <c r="M1467" s="3"/>
      <c r="O1467" s="3"/>
      <c r="Q1467" s="3"/>
      <c r="S1467" s="3"/>
      <c r="U1467" s="3"/>
      <c r="V1467" s="3"/>
      <c r="W1467" s="3"/>
      <c r="X1467" s="3"/>
      <c r="Y1467" s="3"/>
    </row>
    <row r="1468" spans="3:25" x14ac:dyDescent="0.2">
      <c r="C1468" s="3"/>
      <c r="E1468" s="3"/>
      <c r="G1468" s="3"/>
      <c r="I1468" s="3"/>
      <c r="K1468" s="3"/>
      <c r="M1468" s="3"/>
      <c r="O1468" s="3"/>
      <c r="Q1468" s="3"/>
      <c r="S1468" s="3"/>
      <c r="U1468" s="3"/>
      <c r="V1468" s="3"/>
      <c r="W1468" s="3"/>
      <c r="X1468" s="3"/>
      <c r="Y1468" s="3"/>
    </row>
    <row r="1469" spans="3:25" x14ac:dyDescent="0.2">
      <c r="C1469" s="3"/>
      <c r="E1469" s="3"/>
      <c r="G1469" s="3"/>
      <c r="I1469" s="3"/>
      <c r="K1469" s="3"/>
      <c r="M1469" s="3"/>
      <c r="O1469" s="3"/>
      <c r="Q1469" s="3"/>
      <c r="S1469" s="3"/>
      <c r="U1469" s="3"/>
      <c r="V1469" s="3"/>
      <c r="W1469" s="3"/>
      <c r="X1469" s="3"/>
      <c r="Y1469" s="3"/>
    </row>
    <row r="1470" spans="3:25" x14ac:dyDescent="0.2">
      <c r="C1470" s="3"/>
      <c r="E1470" s="3"/>
      <c r="G1470" s="3"/>
      <c r="I1470" s="3"/>
      <c r="K1470" s="3"/>
      <c r="M1470" s="3"/>
      <c r="O1470" s="3"/>
      <c r="Q1470" s="3"/>
      <c r="S1470" s="3"/>
      <c r="U1470" s="3"/>
      <c r="V1470" s="3"/>
      <c r="W1470" s="3"/>
      <c r="X1470" s="3"/>
      <c r="Y1470" s="3"/>
    </row>
    <row r="1471" spans="3:25" x14ac:dyDescent="0.2">
      <c r="C1471" s="3"/>
      <c r="E1471" s="3"/>
      <c r="G1471" s="3"/>
      <c r="I1471" s="3"/>
      <c r="K1471" s="3"/>
      <c r="M1471" s="3"/>
      <c r="O1471" s="3"/>
      <c r="Q1471" s="3"/>
      <c r="S1471" s="3"/>
      <c r="U1471" s="3"/>
      <c r="V1471" s="3"/>
      <c r="W1471" s="3"/>
      <c r="X1471" s="3"/>
      <c r="Y1471" s="3"/>
    </row>
    <row r="1472" spans="3:25" x14ac:dyDescent="0.2">
      <c r="C1472" s="3"/>
      <c r="E1472" s="3"/>
      <c r="G1472" s="3"/>
      <c r="I1472" s="3"/>
      <c r="K1472" s="3"/>
      <c r="M1472" s="3"/>
      <c r="O1472" s="3"/>
      <c r="Q1472" s="3"/>
      <c r="S1472" s="3"/>
      <c r="U1472" s="3"/>
      <c r="V1472" s="3"/>
      <c r="W1472" s="3"/>
      <c r="X1472" s="3"/>
      <c r="Y1472" s="3"/>
    </row>
    <row r="1473" spans="3:25" x14ac:dyDescent="0.2">
      <c r="C1473" s="3"/>
      <c r="E1473" s="3"/>
      <c r="G1473" s="3"/>
      <c r="I1473" s="3"/>
      <c r="K1473" s="3"/>
      <c r="M1473" s="3"/>
      <c r="O1473" s="3"/>
      <c r="Q1473" s="3"/>
      <c r="S1473" s="3"/>
      <c r="U1473" s="3"/>
      <c r="V1473" s="3"/>
      <c r="W1473" s="3"/>
      <c r="X1473" s="3"/>
      <c r="Y1473" s="3"/>
    </row>
    <row r="1474" spans="3:25" x14ac:dyDescent="0.2">
      <c r="C1474" s="3"/>
      <c r="E1474" s="3"/>
      <c r="G1474" s="3"/>
      <c r="I1474" s="3"/>
      <c r="K1474" s="3"/>
      <c r="M1474" s="3"/>
      <c r="O1474" s="3"/>
      <c r="Q1474" s="3"/>
      <c r="S1474" s="3"/>
      <c r="U1474" s="3"/>
      <c r="V1474" s="3"/>
      <c r="W1474" s="3"/>
      <c r="X1474" s="3"/>
      <c r="Y1474" s="3"/>
    </row>
    <row r="1475" spans="3:25" x14ac:dyDescent="0.2">
      <c r="C1475" s="3"/>
      <c r="E1475" s="3"/>
      <c r="G1475" s="3"/>
      <c r="I1475" s="3"/>
      <c r="K1475" s="3"/>
      <c r="M1475" s="3"/>
      <c r="O1475" s="3"/>
      <c r="Q1475" s="3"/>
      <c r="S1475" s="3"/>
      <c r="U1475" s="3"/>
      <c r="V1475" s="3"/>
      <c r="W1475" s="3"/>
      <c r="X1475" s="3"/>
      <c r="Y1475" s="3"/>
    </row>
    <row r="1476" spans="3:25" x14ac:dyDescent="0.2">
      <c r="C1476" s="3"/>
      <c r="E1476" s="3"/>
      <c r="G1476" s="3"/>
      <c r="I1476" s="3"/>
      <c r="K1476" s="3"/>
      <c r="M1476" s="3"/>
      <c r="O1476" s="3"/>
      <c r="Q1476" s="3"/>
      <c r="S1476" s="3"/>
      <c r="U1476" s="3"/>
      <c r="V1476" s="3"/>
      <c r="W1476" s="3"/>
      <c r="X1476" s="3"/>
      <c r="Y1476" s="3"/>
    </row>
    <row r="1477" spans="3:25" x14ac:dyDescent="0.2">
      <c r="C1477" s="3"/>
      <c r="E1477" s="3"/>
      <c r="G1477" s="3"/>
      <c r="I1477" s="3"/>
      <c r="K1477" s="3"/>
      <c r="M1477" s="3"/>
      <c r="O1477" s="3"/>
      <c r="Q1477" s="3"/>
      <c r="S1477" s="3"/>
      <c r="U1477" s="3"/>
      <c r="V1477" s="3"/>
      <c r="W1477" s="3"/>
      <c r="X1477" s="3"/>
      <c r="Y1477" s="3"/>
    </row>
    <row r="1478" spans="3:25" x14ac:dyDescent="0.2">
      <c r="C1478" s="3"/>
      <c r="E1478" s="3"/>
      <c r="G1478" s="3"/>
      <c r="I1478" s="3"/>
      <c r="K1478" s="3"/>
      <c r="M1478" s="3"/>
      <c r="O1478" s="3"/>
      <c r="Q1478" s="3"/>
      <c r="S1478" s="3"/>
      <c r="U1478" s="3"/>
      <c r="V1478" s="3"/>
      <c r="W1478" s="3"/>
      <c r="X1478" s="3"/>
      <c r="Y1478" s="3"/>
    </row>
    <row r="1479" spans="3:25" x14ac:dyDescent="0.2">
      <c r="C1479" s="3"/>
      <c r="E1479" s="3"/>
      <c r="G1479" s="3"/>
      <c r="I1479" s="3"/>
      <c r="K1479" s="3"/>
      <c r="M1479" s="3"/>
      <c r="O1479" s="3"/>
      <c r="Q1479" s="3"/>
      <c r="S1479" s="3"/>
      <c r="U1479" s="3"/>
      <c r="V1479" s="3"/>
      <c r="W1479" s="3"/>
      <c r="X1479" s="3"/>
      <c r="Y1479" s="3"/>
    </row>
    <row r="1480" spans="3:25" x14ac:dyDescent="0.2">
      <c r="C1480" s="3"/>
      <c r="E1480" s="3"/>
      <c r="G1480" s="3"/>
      <c r="I1480" s="3"/>
      <c r="K1480" s="3"/>
      <c r="M1480" s="3"/>
      <c r="O1480" s="3"/>
      <c r="Q1480" s="3"/>
      <c r="S1480" s="3"/>
      <c r="U1480" s="3"/>
      <c r="V1480" s="3"/>
      <c r="W1480" s="3"/>
      <c r="X1480" s="3"/>
      <c r="Y1480" s="3"/>
    </row>
    <row r="1481" spans="3:25" x14ac:dyDescent="0.2">
      <c r="C1481" s="3"/>
      <c r="E1481" s="3"/>
      <c r="G1481" s="3"/>
      <c r="I1481" s="3"/>
      <c r="K1481" s="3"/>
      <c r="M1481" s="3"/>
      <c r="O1481" s="3"/>
      <c r="Q1481" s="3"/>
      <c r="S1481" s="3"/>
      <c r="U1481" s="3"/>
      <c r="V1481" s="3"/>
      <c r="W1481" s="3"/>
      <c r="X1481" s="3"/>
      <c r="Y1481" s="3"/>
    </row>
    <row r="1482" spans="3:25" x14ac:dyDescent="0.2">
      <c r="C1482" s="3"/>
      <c r="E1482" s="3"/>
      <c r="G1482" s="3"/>
      <c r="I1482" s="3"/>
      <c r="K1482" s="3"/>
      <c r="M1482" s="3"/>
      <c r="O1482" s="3"/>
      <c r="Q1482" s="3"/>
      <c r="S1482" s="3"/>
      <c r="U1482" s="3"/>
      <c r="V1482" s="3"/>
      <c r="W1482" s="3"/>
      <c r="X1482" s="3"/>
      <c r="Y1482" s="3"/>
    </row>
    <row r="1483" spans="3:25" x14ac:dyDescent="0.2">
      <c r="C1483" s="3"/>
      <c r="E1483" s="3"/>
      <c r="G1483" s="3"/>
      <c r="I1483" s="3"/>
      <c r="K1483" s="3"/>
      <c r="M1483" s="3"/>
      <c r="O1483" s="3"/>
      <c r="Q1483" s="3"/>
      <c r="S1483" s="3"/>
      <c r="U1483" s="3"/>
      <c r="V1483" s="3"/>
      <c r="W1483" s="3"/>
      <c r="X1483" s="3"/>
      <c r="Y1483" s="3"/>
    </row>
    <row r="1484" spans="3:25" x14ac:dyDescent="0.2">
      <c r="C1484" s="3"/>
      <c r="E1484" s="3"/>
      <c r="G1484" s="3"/>
      <c r="I1484" s="3"/>
      <c r="K1484" s="3"/>
      <c r="M1484" s="3"/>
      <c r="O1484" s="3"/>
      <c r="Q1484" s="3"/>
      <c r="S1484" s="3"/>
      <c r="U1484" s="3"/>
      <c r="V1484" s="3"/>
      <c r="W1484" s="3"/>
      <c r="X1484" s="3"/>
      <c r="Y1484" s="3"/>
    </row>
    <row r="1485" spans="3:25" x14ac:dyDescent="0.2">
      <c r="C1485" s="3"/>
      <c r="E1485" s="3"/>
      <c r="G1485" s="3"/>
      <c r="I1485" s="3"/>
      <c r="K1485" s="3"/>
      <c r="M1485" s="3"/>
      <c r="O1485" s="3"/>
      <c r="Q1485" s="3"/>
      <c r="S1485" s="3"/>
      <c r="U1485" s="3"/>
      <c r="V1485" s="3"/>
      <c r="W1485" s="3"/>
      <c r="X1485" s="3"/>
      <c r="Y1485" s="3"/>
    </row>
    <row r="1486" spans="3:25" x14ac:dyDescent="0.2">
      <c r="C1486" s="3"/>
      <c r="E1486" s="3"/>
      <c r="G1486" s="3"/>
      <c r="I1486" s="3"/>
      <c r="K1486" s="3"/>
      <c r="M1486" s="3"/>
      <c r="O1486" s="3"/>
      <c r="Q1486" s="3"/>
      <c r="S1486" s="3"/>
      <c r="U1486" s="3"/>
      <c r="V1486" s="3"/>
      <c r="W1486" s="3"/>
      <c r="X1486" s="3"/>
      <c r="Y1486" s="3"/>
    </row>
    <row r="1487" spans="3:25" x14ac:dyDescent="0.2">
      <c r="C1487" s="3"/>
      <c r="E1487" s="3"/>
      <c r="G1487" s="3"/>
      <c r="I1487" s="3"/>
      <c r="K1487" s="3"/>
      <c r="M1487" s="3"/>
      <c r="O1487" s="3"/>
      <c r="Q1487" s="3"/>
      <c r="S1487" s="3"/>
      <c r="U1487" s="3"/>
      <c r="V1487" s="3"/>
      <c r="W1487" s="3"/>
      <c r="X1487" s="3"/>
      <c r="Y1487" s="3"/>
    </row>
    <row r="1488" spans="3:25" x14ac:dyDescent="0.2">
      <c r="C1488" s="3"/>
      <c r="E1488" s="3"/>
      <c r="G1488" s="3"/>
      <c r="I1488" s="3"/>
      <c r="K1488" s="3"/>
      <c r="M1488" s="3"/>
      <c r="O1488" s="3"/>
      <c r="Q1488" s="3"/>
      <c r="S1488" s="3"/>
      <c r="U1488" s="3"/>
      <c r="V1488" s="3"/>
      <c r="W1488" s="3"/>
      <c r="X1488" s="3"/>
      <c r="Y1488" s="3"/>
    </row>
    <row r="1489" spans="3:25" x14ac:dyDescent="0.2">
      <c r="C1489" s="3"/>
      <c r="E1489" s="3"/>
      <c r="G1489" s="3"/>
      <c r="I1489" s="3"/>
      <c r="K1489" s="3"/>
      <c r="M1489" s="3"/>
      <c r="O1489" s="3"/>
      <c r="Q1489" s="3"/>
      <c r="S1489" s="3"/>
      <c r="U1489" s="3"/>
      <c r="V1489" s="3"/>
      <c r="W1489" s="3"/>
      <c r="X1489" s="3"/>
      <c r="Y1489" s="3"/>
    </row>
    <row r="1490" spans="3:25" x14ac:dyDescent="0.2">
      <c r="C1490" s="3"/>
      <c r="E1490" s="3"/>
      <c r="G1490" s="3"/>
      <c r="I1490" s="3"/>
      <c r="K1490" s="3"/>
      <c r="M1490" s="3"/>
      <c r="O1490" s="3"/>
      <c r="Q1490" s="3"/>
      <c r="S1490" s="3"/>
      <c r="U1490" s="3"/>
      <c r="V1490" s="3"/>
      <c r="W1490" s="3"/>
      <c r="X1490" s="3"/>
      <c r="Y1490" s="3"/>
    </row>
    <row r="1491" spans="3:25" x14ac:dyDescent="0.2">
      <c r="C1491" s="3"/>
      <c r="E1491" s="3"/>
      <c r="G1491" s="3"/>
      <c r="I1491" s="3"/>
      <c r="K1491" s="3"/>
      <c r="M1491" s="3"/>
      <c r="O1491" s="3"/>
      <c r="Q1491" s="3"/>
      <c r="S1491" s="3"/>
      <c r="U1491" s="3"/>
      <c r="V1491" s="3"/>
      <c r="W1491" s="3"/>
      <c r="X1491" s="3"/>
      <c r="Y1491" s="3"/>
    </row>
    <row r="1492" spans="3:25" x14ac:dyDescent="0.2">
      <c r="C1492" s="3"/>
      <c r="E1492" s="3"/>
      <c r="G1492" s="3"/>
      <c r="I1492" s="3"/>
      <c r="K1492" s="3"/>
      <c r="M1492" s="3"/>
      <c r="O1492" s="3"/>
      <c r="Q1492" s="3"/>
      <c r="S1492" s="3"/>
      <c r="U1492" s="3"/>
      <c r="V1492" s="3"/>
      <c r="W1492" s="3"/>
      <c r="X1492" s="3"/>
      <c r="Y1492" s="3"/>
    </row>
    <row r="1493" spans="3:25" x14ac:dyDescent="0.2">
      <c r="C1493" s="3"/>
      <c r="E1493" s="3"/>
      <c r="G1493" s="3"/>
      <c r="I1493" s="3"/>
      <c r="K1493" s="3"/>
      <c r="M1493" s="3"/>
      <c r="O1493" s="3"/>
      <c r="Q1493" s="3"/>
      <c r="S1493" s="3"/>
      <c r="U1493" s="3"/>
      <c r="V1493" s="3"/>
      <c r="W1493" s="3"/>
      <c r="X1493" s="3"/>
      <c r="Y1493" s="3"/>
    </row>
    <row r="1494" spans="3:25" x14ac:dyDescent="0.2">
      <c r="C1494" s="3"/>
      <c r="E1494" s="3"/>
      <c r="G1494" s="3"/>
      <c r="I1494" s="3"/>
      <c r="K1494" s="3"/>
      <c r="M1494" s="3"/>
      <c r="O1494" s="3"/>
      <c r="Q1494" s="3"/>
      <c r="S1494" s="3"/>
      <c r="U1494" s="3"/>
      <c r="V1494" s="3"/>
      <c r="W1494" s="3"/>
      <c r="X1494" s="3"/>
      <c r="Y1494" s="3"/>
    </row>
    <row r="1495" spans="3:25" x14ac:dyDescent="0.2">
      <c r="C1495" s="3"/>
      <c r="E1495" s="3"/>
      <c r="G1495" s="3"/>
      <c r="I1495" s="3"/>
      <c r="K1495" s="3"/>
      <c r="M1495" s="3"/>
      <c r="O1495" s="3"/>
      <c r="Q1495" s="3"/>
      <c r="S1495" s="3"/>
      <c r="U1495" s="3"/>
      <c r="V1495" s="3"/>
      <c r="W1495" s="3"/>
      <c r="X1495" s="3"/>
      <c r="Y1495" s="3"/>
    </row>
    <row r="1496" spans="3:25" x14ac:dyDescent="0.2">
      <c r="C1496" s="3"/>
      <c r="E1496" s="3"/>
      <c r="G1496" s="3"/>
      <c r="I1496" s="3"/>
      <c r="K1496" s="3"/>
      <c r="M1496" s="3"/>
      <c r="O1496" s="3"/>
      <c r="Q1496" s="3"/>
      <c r="S1496" s="3"/>
      <c r="U1496" s="3"/>
      <c r="V1496" s="3"/>
      <c r="W1496" s="3"/>
      <c r="X1496" s="3"/>
      <c r="Y1496" s="3"/>
    </row>
    <row r="1497" spans="3:25" x14ac:dyDescent="0.2">
      <c r="C1497" s="3"/>
      <c r="E1497" s="3"/>
      <c r="G1497" s="3"/>
      <c r="I1497" s="3"/>
      <c r="K1497" s="3"/>
      <c r="M1497" s="3"/>
      <c r="O1497" s="3"/>
      <c r="Q1497" s="3"/>
      <c r="S1497" s="3"/>
      <c r="U1497" s="3"/>
      <c r="V1497" s="3"/>
      <c r="W1497" s="3"/>
      <c r="X1497" s="3"/>
      <c r="Y1497" s="3"/>
    </row>
    <row r="1498" spans="3:25" x14ac:dyDescent="0.2">
      <c r="C1498" s="3"/>
      <c r="E1498" s="3"/>
      <c r="G1498" s="3"/>
      <c r="I1498" s="3"/>
      <c r="K1498" s="3"/>
      <c r="M1498" s="3"/>
      <c r="O1498" s="3"/>
      <c r="Q1498" s="3"/>
      <c r="S1498" s="3"/>
      <c r="U1498" s="3"/>
      <c r="V1498" s="3"/>
      <c r="W1498" s="3"/>
      <c r="X1498" s="3"/>
      <c r="Y1498" s="3"/>
    </row>
    <row r="1499" spans="3:25" x14ac:dyDescent="0.2">
      <c r="C1499" s="3"/>
      <c r="E1499" s="3"/>
      <c r="G1499" s="3"/>
      <c r="I1499" s="3"/>
      <c r="K1499" s="3"/>
      <c r="M1499" s="3"/>
      <c r="O1499" s="3"/>
      <c r="Q1499" s="3"/>
      <c r="S1499" s="3"/>
      <c r="U1499" s="3"/>
      <c r="V1499" s="3"/>
      <c r="W1499" s="3"/>
      <c r="X1499" s="3"/>
      <c r="Y1499" s="3"/>
    </row>
    <row r="1500" spans="3:25" x14ac:dyDescent="0.2">
      <c r="C1500" s="3"/>
      <c r="E1500" s="3"/>
      <c r="G1500" s="3"/>
      <c r="I1500" s="3"/>
      <c r="K1500" s="3"/>
      <c r="M1500" s="3"/>
      <c r="O1500" s="3"/>
      <c r="Q1500" s="3"/>
      <c r="S1500" s="3"/>
      <c r="U1500" s="3"/>
      <c r="V1500" s="3"/>
      <c r="W1500" s="3"/>
      <c r="X1500" s="3"/>
      <c r="Y1500" s="3"/>
    </row>
    <row r="1501" spans="3:25" x14ac:dyDescent="0.2">
      <c r="C1501" s="3"/>
      <c r="E1501" s="3"/>
      <c r="G1501" s="3"/>
      <c r="I1501" s="3"/>
      <c r="K1501" s="3"/>
      <c r="M1501" s="3"/>
      <c r="O1501" s="3"/>
      <c r="Q1501" s="3"/>
      <c r="S1501" s="3"/>
      <c r="U1501" s="3"/>
      <c r="V1501" s="3"/>
      <c r="W1501" s="3"/>
      <c r="X1501" s="3"/>
      <c r="Y1501" s="3"/>
    </row>
    <row r="1502" spans="3:25" x14ac:dyDescent="0.2">
      <c r="C1502" s="3"/>
      <c r="E1502" s="3"/>
      <c r="G1502" s="3"/>
      <c r="I1502" s="3"/>
      <c r="K1502" s="3"/>
      <c r="M1502" s="3"/>
      <c r="O1502" s="3"/>
      <c r="Q1502" s="3"/>
      <c r="S1502" s="3"/>
      <c r="U1502" s="3"/>
      <c r="V1502" s="3"/>
      <c r="W1502" s="3"/>
      <c r="X1502" s="3"/>
      <c r="Y1502" s="3"/>
    </row>
    <row r="1503" spans="3:25" x14ac:dyDescent="0.2">
      <c r="C1503" s="3"/>
      <c r="E1503" s="3"/>
      <c r="G1503" s="3"/>
      <c r="I1503" s="3"/>
      <c r="K1503" s="3"/>
      <c r="M1503" s="3"/>
      <c r="O1503" s="3"/>
      <c r="Q1503" s="3"/>
      <c r="S1503" s="3"/>
      <c r="U1503" s="3"/>
      <c r="V1503" s="3"/>
      <c r="W1503" s="3"/>
      <c r="X1503" s="3"/>
      <c r="Y1503" s="3"/>
    </row>
    <row r="1504" spans="3:25" x14ac:dyDescent="0.2">
      <c r="C1504" s="3"/>
      <c r="E1504" s="3"/>
      <c r="G1504" s="3"/>
      <c r="I1504" s="3"/>
      <c r="K1504" s="3"/>
      <c r="M1504" s="3"/>
      <c r="O1504" s="3"/>
      <c r="Q1504" s="3"/>
      <c r="S1504" s="3"/>
      <c r="U1504" s="3"/>
      <c r="V1504" s="3"/>
      <c r="W1504" s="3"/>
      <c r="X1504" s="3"/>
      <c r="Y1504" s="3"/>
    </row>
    <row r="1505" spans="3:25" x14ac:dyDescent="0.2">
      <c r="C1505" s="3"/>
      <c r="E1505" s="3"/>
      <c r="G1505" s="3"/>
      <c r="I1505" s="3"/>
      <c r="K1505" s="3"/>
      <c r="M1505" s="3"/>
      <c r="O1505" s="3"/>
      <c r="Q1505" s="3"/>
      <c r="S1505" s="3"/>
      <c r="U1505" s="3"/>
      <c r="V1505" s="3"/>
      <c r="W1505" s="3"/>
      <c r="X1505" s="3"/>
      <c r="Y1505" s="3"/>
    </row>
    <row r="1506" spans="3:25" x14ac:dyDescent="0.2">
      <c r="C1506" s="3"/>
      <c r="E1506" s="3"/>
      <c r="G1506" s="3"/>
      <c r="I1506" s="3"/>
      <c r="K1506" s="3"/>
      <c r="M1506" s="3"/>
      <c r="O1506" s="3"/>
      <c r="Q1506" s="3"/>
      <c r="S1506" s="3"/>
      <c r="U1506" s="3"/>
      <c r="V1506" s="3"/>
      <c r="W1506" s="3"/>
      <c r="X1506" s="3"/>
      <c r="Y1506" s="3"/>
    </row>
    <row r="1507" spans="3:25" x14ac:dyDescent="0.2">
      <c r="C1507" s="3"/>
      <c r="E1507" s="3"/>
      <c r="G1507" s="3"/>
      <c r="I1507" s="3"/>
      <c r="K1507" s="3"/>
      <c r="M1507" s="3"/>
      <c r="O1507" s="3"/>
      <c r="Q1507" s="3"/>
      <c r="S1507" s="3"/>
      <c r="U1507" s="3"/>
      <c r="V1507" s="3"/>
      <c r="W1507" s="3"/>
      <c r="X1507" s="3"/>
      <c r="Y1507" s="3"/>
    </row>
    <row r="1508" spans="3:25" x14ac:dyDescent="0.2">
      <c r="C1508" s="3"/>
      <c r="E1508" s="3"/>
      <c r="G1508" s="3"/>
      <c r="I1508" s="3"/>
      <c r="K1508" s="3"/>
      <c r="M1508" s="3"/>
      <c r="O1508" s="3"/>
      <c r="Q1508" s="3"/>
      <c r="S1508" s="3"/>
      <c r="U1508" s="3"/>
      <c r="V1508" s="3"/>
      <c r="W1508" s="3"/>
      <c r="X1508" s="3"/>
      <c r="Y1508" s="3"/>
    </row>
    <row r="1509" spans="3:25" x14ac:dyDescent="0.2">
      <c r="C1509" s="3"/>
      <c r="E1509" s="3"/>
      <c r="G1509" s="3"/>
      <c r="I1509" s="3"/>
      <c r="K1509" s="3"/>
      <c r="M1509" s="3"/>
      <c r="O1509" s="3"/>
      <c r="Q1509" s="3"/>
      <c r="S1509" s="3"/>
      <c r="U1509" s="3"/>
      <c r="V1509" s="3"/>
      <c r="W1509" s="3"/>
      <c r="X1509" s="3"/>
      <c r="Y1509" s="3"/>
    </row>
    <row r="1510" spans="3:25" x14ac:dyDescent="0.2">
      <c r="C1510" s="3"/>
      <c r="E1510" s="3"/>
      <c r="G1510" s="3"/>
      <c r="I1510" s="3"/>
      <c r="K1510" s="3"/>
      <c r="M1510" s="3"/>
      <c r="O1510" s="3"/>
      <c r="Q1510" s="3"/>
      <c r="S1510" s="3"/>
      <c r="U1510" s="3"/>
      <c r="V1510" s="3"/>
      <c r="W1510" s="3"/>
      <c r="X1510" s="3"/>
      <c r="Y1510" s="3"/>
    </row>
    <row r="1511" spans="3:25" x14ac:dyDescent="0.2">
      <c r="C1511" s="3"/>
      <c r="E1511" s="3"/>
      <c r="G1511" s="3"/>
      <c r="I1511" s="3"/>
      <c r="K1511" s="3"/>
      <c r="M1511" s="3"/>
      <c r="O1511" s="3"/>
      <c r="Q1511" s="3"/>
      <c r="S1511" s="3"/>
      <c r="U1511" s="3"/>
      <c r="V1511" s="3"/>
      <c r="W1511" s="3"/>
      <c r="X1511" s="3"/>
      <c r="Y1511" s="3"/>
    </row>
    <row r="1512" spans="3:25" x14ac:dyDescent="0.2">
      <c r="C1512" s="3"/>
      <c r="E1512" s="3"/>
      <c r="G1512" s="3"/>
      <c r="I1512" s="3"/>
      <c r="K1512" s="3"/>
      <c r="M1512" s="3"/>
      <c r="O1512" s="3"/>
      <c r="Q1512" s="3"/>
      <c r="S1512" s="3"/>
      <c r="U1512" s="3"/>
      <c r="V1512" s="3"/>
      <c r="W1512" s="3"/>
      <c r="X1512" s="3"/>
      <c r="Y1512" s="3"/>
    </row>
    <row r="1513" spans="3:25" x14ac:dyDescent="0.2">
      <c r="C1513" s="3"/>
      <c r="E1513" s="3"/>
      <c r="G1513" s="3"/>
      <c r="I1513" s="3"/>
      <c r="K1513" s="3"/>
      <c r="M1513" s="3"/>
      <c r="O1513" s="3"/>
      <c r="Q1513" s="3"/>
      <c r="S1513" s="3"/>
      <c r="U1513" s="3"/>
      <c r="V1513" s="3"/>
      <c r="W1513" s="3"/>
      <c r="X1513" s="3"/>
      <c r="Y1513" s="3"/>
    </row>
    <row r="1514" spans="3:25" x14ac:dyDescent="0.2">
      <c r="C1514" s="3"/>
      <c r="E1514" s="3"/>
      <c r="G1514" s="3"/>
      <c r="I1514" s="3"/>
      <c r="K1514" s="3"/>
      <c r="M1514" s="3"/>
      <c r="O1514" s="3"/>
      <c r="Q1514" s="3"/>
      <c r="S1514" s="3"/>
      <c r="U1514" s="3"/>
      <c r="V1514" s="3"/>
      <c r="W1514" s="3"/>
      <c r="X1514" s="3"/>
      <c r="Y1514" s="3"/>
    </row>
    <row r="1515" spans="3:25" x14ac:dyDescent="0.2">
      <c r="C1515" s="3"/>
      <c r="E1515" s="3"/>
      <c r="G1515" s="3"/>
      <c r="I1515" s="3"/>
      <c r="K1515" s="3"/>
      <c r="M1515" s="3"/>
      <c r="O1515" s="3"/>
      <c r="Q1515" s="3"/>
      <c r="S1515" s="3"/>
      <c r="U1515" s="3"/>
      <c r="V1515" s="3"/>
      <c r="W1515" s="3"/>
      <c r="X1515" s="3"/>
      <c r="Y1515" s="3"/>
    </row>
    <row r="1516" spans="3:25" x14ac:dyDescent="0.2">
      <c r="C1516" s="3"/>
      <c r="E1516" s="3"/>
      <c r="G1516" s="3"/>
      <c r="I1516" s="3"/>
      <c r="K1516" s="3"/>
      <c r="M1516" s="3"/>
      <c r="O1516" s="3"/>
      <c r="Q1516" s="3"/>
      <c r="S1516" s="3"/>
      <c r="U1516" s="3"/>
      <c r="V1516" s="3"/>
      <c r="W1516" s="3"/>
      <c r="X1516" s="3"/>
      <c r="Y1516" s="3"/>
    </row>
    <row r="1517" spans="3:25" x14ac:dyDescent="0.2">
      <c r="C1517" s="3"/>
      <c r="E1517" s="3"/>
      <c r="G1517" s="3"/>
      <c r="I1517" s="3"/>
      <c r="K1517" s="3"/>
      <c r="M1517" s="3"/>
      <c r="O1517" s="3"/>
      <c r="Q1517" s="3"/>
      <c r="S1517" s="3"/>
      <c r="U1517" s="3"/>
      <c r="V1517" s="3"/>
      <c r="W1517" s="3"/>
      <c r="X1517" s="3"/>
      <c r="Y1517" s="3"/>
    </row>
    <row r="1518" spans="3:25" x14ac:dyDescent="0.2">
      <c r="C1518" s="3"/>
      <c r="E1518" s="3"/>
      <c r="G1518" s="3"/>
      <c r="I1518" s="3"/>
      <c r="K1518" s="3"/>
      <c r="M1518" s="3"/>
      <c r="O1518" s="3"/>
      <c r="Q1518" s="3"/>
      <c r="S1518" s="3"/>
      <c r="U1518" s="3"/>
      <c r="V1518" s="3"/>
      <c r="W1518" s="3"/>
      <c r="X1518" s="3"/>
      <c r="Y1518" s="3"/>
    </row>
    <row r="1519" spans="3:25" x14ac:dyDescent="0.2">
      <c r="C1519" s="3"/>
      <c r="E1519" s="3"/>
      <c r="G1519" s="3"/>
      <c r="I1519" s="3"/>
      <c r="K1519" s="3"/>
      <c r="M1519" s="3"/>
      <c r="O1519" s="3"/>
      <c r="Q1519" s="3"/>
      <c r="S1519" s="3"/>
      <c r="U1519" s="3"/>
      <c r="V1519" s="3"/>
      <c r="W1519" s="3"/>
      <c r="X1519" s="3"/>
      <c r="Y1519" s="3"/>
    </row>
    <row r="1520" spans="3:25" x14ac:dyDescent="0.2">
      <c r="C1520" s="3"/>
      <c r="E1520" s="3"/>
      <c r="G1520" s="3"/>
      <c r="I1520" s="3"/>
      <c r="K1520" s="3"/>
      <c r="M1520" s="3"/>
      <c r="O1520" s="3"/>
      <c r="Q1520" s="3"/>
      <c r="S1520" s="3"/>
      <c r="U1520" s="3"/>
      <c r="V1520" s="3"/>
      <c r="W1520" s="3"/>
      <c r="X1520" s="3"/>
      <c r="Y1520" s="3"/>
    </row>
    <row r="1521" spans="3:25" x14ac:dyDescent="0.2">
      <c r="C1521" s="3"/>
      <c r="E1521" s="3"/>
      <c r="G1521" s="3"/>
      <c r="I1521" s="3"/>
      <c r="K1521" s="3"/>
      <c r="M1521" s="3"/>
      <c r="O1521" s="3"/>
      <c r="Q1521" s="3"/>
      <c r="S1521" s="3"/>
      <c r="U1521" s="3"/>
      <c r="V1521" s="3"/>
      <c r="W1521" s="3"/>
      <c r="X1521" s="3"/>
      <c r="Y1521" s="3"/>
    </row>
    <row r="1522" spans="3:25" x14ac:dyDescent="0.2">
      <c r="C1522" s="3"/>
      <c r="E1522" s="3"/>
      <c r="G1522" s="3"/>
      <c r="I1522" s="3"/>
      <c r="K1522" s="3"/>
      <c r="M1522" s="3"/>
      <c r="O1522" s="3"/>
      <c r="Q1522" s="3"/>
      <c r="S1522" s="3"/>
      <c r="U1522" s="3"/>
      <c r="V1522" s="3"/>
      <c r="W1522" s="3"/>
      <c r="X1522" s="3"/>
      <c r="Y1522" s="3"/>
    </row>
    <row r="1523" spans="3:25" x14ac:dyDescent="0.2">
      <c r="C1523" s="3"/>
      <c r="E1523" s="3"/>
      <c r="G1523" s="3"/>
      <c r="I1523" s="3"/>
      <c r="K1523" s="3"/>
      <c r="M1523" s="3"/>
      <c r="O1523" s="3"/>
      <c r="Q1523" s="3"/>
      <c r="S1523" s="3"/>
      <c r="U1523" s="3"/>
      <c r="V1523" s="3"/>
      <c r="W1523" s="3"/>
      <c r="X1523" s="3"/>
      <c r="Y1523" s="3"/>
    </row>
    <row r="1524" spans="3:25" x14ac:dyDescent="0.2">
      <c r="C1524" s="3"/>
      <c r="E1524" s="3"/>
      <c r="G1524" s="3"/>
      <c r="I1524" s="3"/>
      <c r="K1524" s="3"/>
      <c r="M1524" s="3"/>
      <c r="O1524" s="3"/>
      <c r="Q1524" s="3"/>
      <c r="S1524" s="3"/>
      <c r="U1524" s="3"/>
      <c r="V1524" s="3"/>
      <c r="W1524" s="3"/>
      <c r="X1524" s="3"/>
      <c r="Y1524" s="3"/>
    </row>
    <row r="1525" spans="3:25" x14ac:dyDescent="0.2">
      <c r="C1525" s="3"/>
      <c r="E1525" s="3"/>
      <c r="G1525" s="3"/>
      <c r="I1525" s="3"/>
      <c r="K1525" s="3"/>
      <c r="M1525" s="3"/>
      <c r="O1525" s="3"/>
      <c r="Q1525" s="3"/>
      <c r="S1525" s="3"/>
      <c r="U1525" s="3"/>
      <c r="V1525" s="3"/>
      <c r="W1525" s="3"/>
      <c r="X1525" s="3"/>
      <c r="Y1525" s="3"/>
    </row>
    <row r="1526" spans="3:25" x14ac:dyDescent="0.2">
      <c r="C1526" s="3"/>
      <c r="E1526" s="3"/>
      <c r="G1526" s="3"/>
      <c r="I1526" s="3"/>
      <c r="K1526" s="3"/>
      <c r="M1526" s="3"/>
      <c r="O1526" s="3"/>
      <c r="Q1526" s="3"/>
      <c r="S1526" s="3"/>
      <c r="U1526" s="3"/>
      <c r="V1526" s="3"/>
      <c r="W1526" s="3"/>
      <c r="X1526" s="3"/>
      <c r="Y1526" s="3"/>
    </row>
    <row r="1527" spans="3:25" x14ac:dyDescent="0.2">
      <c r="C1527" s="3"/>
      <c r="E1527" s="3"/>
      <c r="G1527" s="3"/>
      <c r="I1527" s="3"/>
      <c r="K1527" s="3"/>
      <c r="M1527" s="3"/>
      <c r="O1527" s="3"/>
      <c r="Q1527" s="3"/>
      <c r="S1527" s="3"/>
      <c r="U1527" s="3"/>
      <c r="V1527" s="3"/>
      <c r="W1527" s="3"/>
      <c r="X1527" s="3"/>
      <c r="Y1527" s="3"/>
    </row>
    <row r="1528" spans="3:25" x14ac:dyDescent="0.2">
      <c r="C1528" s="3"/>
      <c r="E1528" s="3"/>
      <c r="G1528" s="3"/>
      <c r="I1528" s="3"/>
      <c r="K1528" s="3"/>
      <c r="M1528" s="3"/>
      <c r="O1528" s="3"/>
      <c r="Q1528" s="3"/>
      <c r="S1528" s="3"/>
      <c r="U1528" s="3"/>
      <c r="V1528" s="3"/>
      <c r="W1528" s="3"/>
      <c r="X1528" s="3"/>
      <c r="Y1528" s="3"/>
    </row>
    <row r="1529" spans="3:25" x14ac:dyDescent="0.2">
      <c r="C1529" s="3"/>
      <c r="E1529" s="3"/>
      <c r="G1529" s="3"/>
      <c r="I1529" s="3"/>
      <c r="K1529" s="3"/>
      <c r="M1529" s="3"/>
      <c r="O1529" s="3"/>
      <c r="Q1529" s="3"/>
      <c r="S1529" s="3"/>
      <c r="U1529" s="3"/>
      <c r="V1529" s="3"/>
      <c r="W1529" s="3"/>
      <c r="X1529" s="3"/>
      <c r="Y1529" s="3"/>
    </row>
    <row r="1530" spans="3:25" x14ac:dyDescent="0.2">
      <c r="C1530" s="3"/>
      <c r="E1530" s="3"/>
      <c r="G1530" s="3"/>
      <c r="I1530" s="3"/>
      <c r="K1530" s="3"/>
      <c r="M1530" s="3"/>
      <c r="O1530" s="3"/>
      <c r="Q1530" s="3"/>
      <c r="S1530" s="3"/>
      <c r="U1530" s="3"/>
      <c r="V1530" s="3"/>
      <c r="W1530" s="3"/>
      <c r="X1530" s="3"/>
      <c r="Y1530" s="3"/>
    </row>
    <row r="1531" spans="3:25" x14ac:dyDescent="0.2">
      <c r="C1531" s="3"/>
      <c r="E1531" s="3"/>
      <c r="G1531" s="3"/>
      <c r="I1531" s="3"/>
      <c r="K1531" s="3"/>
      <c r="M1531" s="3"/>
      <c r="O1531" s="3"/>
      <c r="Q1531" s="3"/>
      <c r="S1531" s="3"/>
      <c r="U1531" s="3"/>
      <c r="V1531" s="3"/>
      <c r="W1531" s="3"/>
      <c r="X1531" s="3"/>
      <c r="Y1531" s="3"/>
    </row>
    <row r="1532" spans="3:25" x14ac:dyDescent="0.2">
      <c r="C1532" s="3"/>
      <c r="E1532" s="3"/>
      <c r="G1532" s="3"/>
      <c r="I1532" s="3"/>
      <c r="K1532" s="3"/>
      <c r="M1532" s="3"/>
      <c r="O1532" s="3"/>
      <c r="Q1532" s="3"/>
      <c r="S1532" s="3"/>
      <c r="U1532" s="3"/>
      <c r="V1532" s="3"/>
      <c r="W1532" s="3"/>
      <c r="X1532" s="3"/>
      <c r="Y1532" s="3"/>
    </row>
    <row r="1533" spans="3:25" x14ac:dyDescent="0.2">
      <c r="C1533" s="3"/>
      <c r="E1533" s="3"/>
      <c r="G1533" s="3"/>
      <c r="I1533" s="3"/>
      <c r="K1533" s="3"/>
      <c r="M1533" s="3"/>
      <c r="O1533" s="3"/>
      <c r="Q1533" s="3"/>
      <c r="S1533" s="3"/>
      <c r="U1533" s="3"/>
      <c r="V1533" s="3"/>
      <c r="W1533" s="3"/>
      <c r="X1533" s="3"/>
      <c r="Y1533" s="3"/>
    </row>
    <row r="1534" spans="3:25" x14ac:dyDescent="0.2">
      <c r="C1534" s="3"/>
      <c r="E1534" s="3"/>
      <c r="G1534" s="3"/>
      <c r="I1534" s="3"/>
      <c r="K1534" s="3"/>
      <c r="M1534" s="3"/>
      <c r="O1534" s="3"/>
      <c r="Q1534" s="3"/>
      <c r="S1534" s="3"/>
      <c r="U1534" s="3"/>
      <c r="V1534" s="3"/>
      <c r="W1534" s="3"/>
      <c r="X1534" s="3"/>
      <c r="Y1534" s="3"/>
    </row>
    <row r="1535" spans="3:25" x14ac:dyDescent="0.2">
      <c r="C1535" s="3"/>
      <c r="E1535" s="3"/>
      <c r="G1535" s="3"/>
      <c r="I1535" s="3"/>
      <c r="K1535" s="3"/>
      <c r="M1535" s="3"/>
      <c r="O1535" s="3"/>
      <c r="Q1535" s="3"/>
      <c r="S1535" s="3"/>
      <c r="U1535" s="3"/>
      <c r="V1535" s="3"/>
      <c r="W1535" s="3"/>
      <c r="X1535" s="3"/>
      <c r="Y1535" s="3"/>
    </row>
    <row r="1536" spans="3:25" x14ac:dyDescent="0.2">
      <c r="C1536" s="3"/>
      <c r="E1536" s="3"/>
      <c r="G1536" s="3"/>
      <c r="I1536" s="3"/>
      <c r="K1536" s="3"/>
      <c r="M1536" s="3"/>
      <c r="O1536" s="3"/>
      <c r="Q1536" s="3"/>
      <c r="S1536" s="3"/>
      <c r="U1536" s="3"/>
      <c r="V1536" s="3"/>
      <c r="W1536" s="3"/>
      <c r="X1536" s="3"/>
      <c r="Y1536" s="3"/>
    </row>
    <row r="1537" spans="3:25" x14ac:dyDescent="0.2">
      <c r="C1537" s="3"/>
      <c r="E1537" s="3"/>
      <c r="G1537" s="3"/>
      <c r="I1537" s="3"/>
      <c r="K1537" s="3"/>
      <c r="M1537" s="3"/>
      <c r="O1537" s="3"/>
      <c r="Q1537" s="3"/>
      <c r="S1537" s="3"/>
      <c r="U1537" s="3"/>
      <c r="V1537" s="3"/>
      <c r="W1537" s="3"/>
      <c r="X1537" s="3"/>
      <c r="Y1537" s="3"/>
    </row>
    <row r="1538" spans="3:25" x14ac:dyDescent="0.2">
      <c r="C1538" s="3"/>
      <c r="E1538" s="3"/>
      <c r="G1538" s="3"/>
      <c r="I1538" s="3"/>
      <c r="K1538" s="3"/>
      <c r="M1538" s="3"/>
      <c r="O1538" s="3"/>
      <c r="Q1538" s="3"/>
      <c r="S1538" s="3"/>
      <c r="U1538" s="3"/>
      <c r="V1538" s="3"/>
      <c r="W1538" s="3"/>
      <c r="X1538" s="3"/>
      <c r="Y1538" s="3"/>
    </row>
    <row r="1539" spans="3:25" x14ac:dyDescent="0.2">
      <c r="C1539" s="3"/>
      <c r="E1539" s="3"/>
      <c r="G1539" s="3"/>
      <c r="I1539" s="3"/>
      <c r="K1539" s="3"/>
      <c r="M1539" s="3"/>
      <c r="O1539" s="3"/>
      <c r="Q1539" s="3"/>
      <c r="S1539" s="3"/>
      <c r="U1539" s="3"/>
      <c r="V1539" s="3"/>
      <c r="W1539" s="3"/>
      <c r="X1539" s="3"/>
      <c r="Y1539" s="3"/>
    </row>
    <row r="1540" spans="3:25" x14ac:dyDescent="0.2">
      <c r="C1540" s="3"/>
      <c r="E1540" s="3"/>
      <c r="G1540" s="3"/>
      <c r="I1540" s="3"/>
      <c r="K1540" s="3"/>
      <c r="M1540" s="3"/>
      <c r="O1540" s="3"/>
      <c r="Q1540" s="3"/>
      <c r="S1540" s="3"/>
      <c r="U1540" s="3"/>
      <c r="V1540" s="3"/>
      <c r="W1540" s="3"/>
      <c r="X1540" s="3"/>
      <c r="Y1540" s="3"/>
    </row>
    <row r="1541" spans="3:25" x14ac:dyDescent="0.2">
      <c r="C1541" s="3"/>
      <c r="E1541" s="3"/>
      <c r="G1541" s="3"/>
      <c r="I1541" s="3"/>
      <c r="K1541" s="3"/>
      <c r="M1541" s="3"/>
      <c r="O1541" s="3"/>
      <c r="Q1541" s="3"/>
      <c r="S1541" s="3"/>
      <c r="U1541" s="3"/>
      <c r="V1541" s="3"/>
      <c r="W1541" s="3"/>
      <c r="X1541" s="3"/>
      <c r="Y1541" s="3"/>
    </row>
    <row r="1542" spans="3:25" x14ac:dyDescent="0.2">
      <c r="C1542" s="3"/>
      <c r="E1542" s="3"/>
      <c r="G1542" s="3"/>
      <c r="I1542" s="3"/>
      <c r="K1542" s="3"/>
      <c r="M1542" s="3"/>
      <c r="O1542" s="3"/>
      <c r="Q1542" s="3"/>
      <c r="S1542" s="3"/>
      <c r="U1542" s="3"/>
      <c r="V1542" s="3"/>
      <c r="W1542" s="3"/>
      <c r="X1542" s="3"/>
      <c r="Y1542" s="3"/>
    </row>
    <row r="1543" spans="3:25" x14ac:dyDescent="0.2">
      <c r="C1543" s="3"/>
      <c r="E1543" s="3"/>
      <c r="G1543" s="3"/>
      <c r="I1543" s="3"/>
      <c r="K1543" s="3"/>
      <c r="M1543" s="3"/>
      <c r="O1543" s="3"/>
      <c r="Q1543" s="3"/>
      <c r="S1543" s="3"/>
      <c r="U1543" s="3"/>
      <c r="V1543" s="3"/>
      <c r="W1543" s="3"/>
      <c r="X1543" s="3"/>
      <c r="Y1543" s="3"/>
    </row>
    <row r="1544" spans="3:25" x14ac:dyDescent="0.2">
      <c r="C1544" s="3"/>
      <c r="E1544" s="3"/>
      <c r="G1544" s="3"/>
      <c r="I1544" s="3"/>
      <c r="K1544" s="3"/>
      <c r="M1544" s="3"/>
      <c r="O1544" s="3"/>
      <c r="Q1544" s="3"/>
      <c r="S1544" s="3"/>
      <c r="U1544" s="3"/>
      <c r="V1544" s="3"/>
      <c r="W1544" s="3"/>
      <c r="X1544" s="3"/>
      <c r="Y1544" s="3"/>
    </row>
    <row r="1545" spans="3:25" x14ac:dyDescent="0.2">
      <c r="C1545" s="3"/>
      <c r="E1545" s="3"/>
      <c r="G1545" s="3"/>
      <c r="I1545" s="3"/>
      <c r="K1545" s="3"/>
      <c r="M1545" s="3"/>
      <c r="O1545" s="3"/>
      <c r="Q1545" s="3"/>
      <c r="S1545" s="3"/>
      <c r="U1545" s="3"/>
      <c r="V1545" s="3"/>
      <c r="W1545" s="3"/>
      <c r="X1545" s="3"/>
      <c r="Y1545" s="3"/>
    </row>
    <row r="1546" spans="3:25" x14ac:dyDescent="0.2">
      <c r="C1546" s="3"/>
      <c r="E1546" s="3"/>
      <c r="G1546" s="3"/>
      <c r="I1546" s="3"/>
      <c r="K1546" s="3"/>
      <c r="M1546" s="3"/>
      <c r="O1546" s="3"/>
      <c r="Q1546" s="3"/>
      <c r="S1546" s="3"/>
      <c r="U1546" s="3"/>
      <c r="V1546" s="3"/>
      <c r="W1546" s="3"/>
      <c r="X1546" s="3"/>
      <c r="Y1546" s="3"/>
    </row>
    <row r="1547" spans="3:25" x14ac:dyDescent="0.2">
      <c r="C1547" s="3"/>
      <c r="E1547" s="3"/>
      <c r="G1547" s="3"/>
      <c r="I1547" s="3"/>
      <c r="K1547" s="3"/>
      <c r="M1547" s="3"/>
      <c r="O1547" s="3"/>
      <c r="Q1547" s="3"/>
      <c r="S1547" s="3"/>
      <c r="U1547" s="3"/>
      <c r="V1547" s="3"/>
      <c r="W1547" s="3"/>
      <c r="X1547" s="3"/>
      <c r="Y1547" s="3"/>
    </row>
    <row r="1548" spans="3:25" x14ac:dyDescent="0.2">
      <c r="C1548" s="3"/>
      <c r="E1548" s="3"/>
      <c r="G1548" s="3"/>
      <c r="I1548" s="3"/>
      <c r="K1548" s="3"/>
      <c r="M1548" s="3"/>
      <c r="O1548" s="3"/>
      <c r="Q1548" s="3"/>
      <c r="S1548" s="3"/>
      <c r="U1548" s="3"/>
      <c r="V1548" s="3"/>
      <c r="W1548" s="3"/>
      <c r="X1548" s="3"/>
      <c r="Y1548" s="3"/>
    </row>
    <row r="1549" spans="3:25" x14ac:dyDescent="0.2">
      <c r="C1549" s="3"/>
      <c r="E1549" s="3"/>
      <c r="G1549" s="3"/>
      <c r="I1549" s="3"/>
      <c r="K1549" s="3"/>
      <c r="M1549" s="3"/>
      <c r="O1549" s="3"/>
      <c r="Q1549" s="3"/>
      <c r="S1549" s="3"/>
      <c r="U1549" s="3"/>
      <c r="V1549" s="3"/>
      <c r="W1549" s="3"/>
      <c r="X1549" s="3"/>
      <c r="Y1549" s="3"/>
    </row>
    <row r="1550" spans="3:25" x14ac:dyDescent="0.2">
      <c r="C1550" s="3"/>
      <c r="E1550" s="3"/>
      <c r="G1550" s="3"/>
      <c r="I1550" s="3"/>
      <c r="K1550" s="3"/>
      <c r="M1550" s="3"/>
      <c r="O1550" s="3"/>
      <c r="Q1550" s="3"/>
      <c r="S1550" s="3"/>
      <c r="U1550" s="3"/>
      <c r="V1550" s="3"/>
      <c r="W1550" s="3"/>
      <c r="X1550" s="3"/>
      <c r="Y1550" s="3"/>
    </row>
    <row r="1551" spans="3:25" x14ac:dyDescent="0.2">
      <c r="C1551" s="3"/>
      <c r="E1551" s="3"/>
      <c r="G1551" s="3"/>
      <c r="I1551" s="3"/>
      <c r="K1551" s="3"/>
      <c r="M1551" s="3"/>
      <c r="O1551" s="3"/>
      <c r="Q1551" s="3"/>
      <c r="S1551" s="3"/>
      <c r="U1551" s="3"/>
      <c r="V1551" s="3"/>
      <c r="W1551" s="3"/>
      <c r="X1551" s="3"/>
      <c r="Y1551" s="3"/>
    </row>
    <row r="1552" spans="3:25" x14ac:dyDescent="0.2">
      <c r="C1552" s="3"/>
      <c r="E1552" s="3"/>
      <c r="G1552" s="3"/>
      <c r="I1552" s="3"/>
      <c r="K1552" s="3"/>
      <c r="M1552" s="3"/>
      <c r="O1552" s="3"/>
      <c r="Q1552" s="3"/>
      <c r="S1552" s="3"/>
      <c r="U1552" s="3"/>
      <c r="V1552" s="3"/>
      <c r="W1552" s="3"/>
      <c r="X1552" s="3"/>
      <c r="Y1552" s="3"/>
    </row>
    <row r="1553" spans="3:25" x14ac:dyDescent="0.2">
      <c r="C1553" s="3"/>
      <c r="E1553" s="3"/>
      <c r="G1553" s="3"/>
      <c r="I1553" s="3"/>
      <c r="K1553" s="3"/>
      <c r="M1553" s="3"/>
      <c r="O1553" s="3"/>
      <c r="Q1553" s="3"/>
      <c r="S1553" s="3"/>
      <c r="U1553" s="3"/>
      <c r="V1553" s="3"/>
      <c r="W1553" s="3"/>
      <c r="X1553" s="3"/>
      <c r="Y1553" s="3"/>
    </row>
    <row r="1554" spans="3:25" x14ac:dyDescent="0.2">
      <c r="C1554" s="3"/>
      <c r="E1554" s="3"/>
      <c r="G1554" s="3"/>
      <c r="I1554" s="3"/>
      <c r="K1554" s="3"/>
      <c r="M1554" s="3"/>
      <c r="O1554" s="3"/>
      <c r="Q1554" s="3"/>
      <c r="S1554" s="3"/>
      <c r="U1554" s="3"/>
      <c r="V1554" s="3"/>
      <c r="W1554" s="3"/>
      <c r="X1554" s="3"/>
      <c r="Y1554" s="3"/>
    </row>
    <row r="1555" spans="3:25" x14ac:dyDescent="0.2">
      <c r="C1555" s="3"/>
      <c r="E1555" s="3"/>
      <c r="G1555" s="3"/>
      <c r="I1555" s="3"/>
      <c r="K1555" s="3"/>
      <c r="M1555" s="3"/>
      <c r="O1555" s="3"/>
      <c r="Q1555" s="3"/>
      <c r="S1555" s="3"/>
      <c r="U1555" s="3"/>
      <c r="V1555" s="3"/>
      <c r="W1555" s="3"/>
      <c r="X1555" s="3"/>
      <c r="Y1555" s="3"/>
    </row>
    <row r="1556" spans="3:25" x14ac:dyDescent="0.2">
      <c r="C1556" s="3"/>
      <c r="E1556" s="3"/>
      <c r="G1556" s="3"/>
      <c r="I1556" s="3"/>
      <c r="K1556" s="3"/>
      <c r="M1556" s="3"/>
      <c r="O1556" s="3"/>
      <c r="Q1556" s="3"/>
      <c r="S1556" s="3"/>
      <c r="U1556" s="3"/>
      <c r="V1556" s="3"/>
      <c r="W1556" s="3"/>
      <c r="X1556" s="3"/>
      <c r="Y1556" s="3"/>
    </row>
    <row r="1557" spans="3:25" x14ac:dyDescent="0.2">
      <c r="C1557" s="3"/>
      <c r="E1557" s="3"/>
      <c r="G1557" s="3"/>
      <c r="I1557" s="3"/>
      <c r="K1557" s="3"/>
      <c r="M1557" s="3"/>
      <c r="O1557" s="3"/>
      <c r="Q1557" s="3"/>
      <c r="S1557" s="3"/>
      <c r="U1557" s="3"/>
      <c r="V1557" s="3"/>
      <c r="W1557" s="3"/>
      <c r="X1557" s="3"/>
      <c r="Y1557" s="3"/>
    </row>
    <row r="1558" spans="3:25" x14ac:dyDescent="0.2">
      <c r="C1558" s="3"/>
      <c r="E1558" s="3"/>
      <c r="G1558" s="3"/>
      <c r="I1558" s="3"/>
      <c r="K1558" s="3"/>
      <c r="M1558" s="3"/>
      <c r="O1558" s="3"/>
      <c r="Q1558" s="3"/>
      <c r="S1558" s="3"/>
      <c r="U1558" s="3"/>
      <c r="V1558" s="3"/>
      <c r="W1558" s="3"/>
      <c r="X1558" s="3"/>
      <c r="Y1558" s="3"/>
    </row>
    <row r="1559" spans="3:25" x14ac:dyDescent="0.2">
      <c r="C1559" s="3"/>
      <c r="E1559" s="3"/>
      <c r="G1559" s="3"/>
      <c r="I1559" s="3"/>
      <c r="K1559" s="3"/>
      <c r="M1559" s="3"/>
      <c r="O1559" s="3"/>
      <c r="Q1559" s="3"/>
      <c r="S1559" s="3"/>
      <c r="U1559" s="3"/>
      <c r="V1559" s="3"/>
      <c r="W1559" s="3"/>
      <c r="X1559" s="3"/>
      <c r="Y1559" s="3"/>
    </row>
    <row r="1560" spans="3:25" x14ac:dyDescent="0.2">
      <c r="C1560" s="3"/>
      <c r="E1560" s="3"/>
      <c r="G1560" s="3"/>
      <c r="I1560" s="3"/>
      <c r="K1560" s="3"/>
      <c r="M1560" s="3"/>
      <c r="O1560" s="3"/>
      <c r="Q1560" s="3"/>
      <c r="S1560" s="3"/>
      <c r="U1560" s="3"/>
      <c r="V1560" s="3"/>
      <c r="W1560" s="3"/>
      <c r="X1560" s="3"/>
      <c r="Y1560" s="3"/>
    </row>
    <row r="1561" spans="3:25" x14ac:dyDescent="0.2">
      <c r="C1561" s="3"/>
      <c r="E1561" s="3"/>
      <c r="G1561" s="3"/>
      <c r="I1561" s="3"/>
      <c r="K1561" s="3"/>
      <c r="M1561" s="3"/>
      <c r="O1561" s="3"/>
      <c r="Q1561" s="3"/>
      <c r="S1561" s="3"/>
      <c r="U1561" s="3"/>
      <c r="V1561" s="3"/>
      <c r="W1561" s="3"/>
      <c r="X1561" s="3"/>
      <c r="Y1561" s="3"/>
    </row>
    <row r="1562" spans="3:25" x14ac:dyDescent="0.2">
      <c r="C1562" s="3"/>
      <c r="E1562" s="3"/>
      <c r="G1562" s="3"/>
      <c r="I1562" s="3"/>
      <c r="K1562" s="3"/>
      <c r="M1562" s="3"/>
      <c r="O1562" s="3"/>
      <c r="Q1562" s="3"/>
      <c r="S1562" s="3"/>
      <c r="U1562" s="3"/>
      <c r="V1562" s="3"/>
      <c r="W1562" s="3"/>
      <c r="X1562" s="3"/>
      <c r="Y1562" s="3"/>
    </row>
    <row r="1563" spans="3:25" x14ac:dyDescent="0.2">
      <c r="C1563" s="3"/>
      <c r="E1563" s="3"/>
      <c r="G1563" s="3"/>
      <c r="I1563" s="3"/>
      <c r="K1563" s="3"/>
      <c r="M1563" s="3"/>
      <c r="O1563" s="3"/>
      <c r="Q1563" s="3"/>
      <c r="S1563" s="3"/>
      <c r="U1563" s="3"/>
      <c r="V1563" s="3"/>
      <c r="W1563" s="3"/>
      <c r="X1563" s="3"/>
      <c r="Y1563" s="3"/>
    </row>
    <row r="1564" spans="3:25" x14ac:dyDescent="0.2">
      <c r="C1564" s="3"/>
      <c r="E1564" s="3"/>
      <c r="G1564" s="3"/>
      <c r="I1564" s="3"/>
      <c r="K1564" s="3"/>
      <c r="M1564" s="3"/>
      <c r="O1564" s="3"/>
      <c r="Q1564" s="3"/>
      <c r="S1564" s="3"/>
      <c r="U1564" s="3"/>
      <c r="V1564" s="3"/>
      <c r="W1564" s="3"/>
      <c r="X1564" s="3"/>
      <c r="Y1564" s="3"/>
    </row>
    <row r="1565" spans="3:25" x14ac:dyDescent="0.2">
      <c r="C1565" s="3"/>
      <c r="E1565" s="3"/>
      <c r="G1565" s="3"/>
      <c r="I1565" s="3"/>
      <c r="K1565" s="3"/>
      <c r="M1565" s="3"/>
      <c r="O1565" s="3"/>
      <c r="Q1565" s="3"/>
      <c r="S1565" s="3"/>
      <c r="U1565" s="3"/>
      <c r="V1565" s="3"/>
      <c r="W1565" s="3"/>
      <c r="X1565" s="3"/>
      <c r="Y1565" s="3"/>
    </row>
    <row r="1566" spans="3:25" x14ac:dyDescent="0.2">
      <c r="C1566" s="3"/>
      <c r="E1566" s="3"/>
      <c r="G1566" s="3"/>
      <c r="I1566" s="3"/>
      <c r="K1566" s="3"/>
      <c r="M1566" s="3"/>
      <c r="O1566" s="3"/>
      <c r="Q1566" s="3"/>
      <c r="S1566" s="3"/>
      <c r="U1566" s="3"/>
      <c r="V1566" s="3"/>
      <c r="W1566" s="3"/>
      <c r="X1566" s="3"/>
      <c r="Y1566" s="3"/>
    </row>
    <row r="1567" spans="3:25" x14ac:dyDescent="0.2">
      <c r="C1567" s="3"/>
      <c r="E1567" s="3"/>
      <c r="G1567" s="3"/>
      <c r="I1567" s="3"/>
      <c r="K1567" s="3"/>
      <c r="M1567" s="3"/>
      <c r="O1567" s="3"/>
      <c r="Q1567" s="3"/>
      <c r="S1567" s="3"/>
      <c r="U1567" s="3"/>
      <c r="V1567" s="3"/>
      <c r="W1567" s="3"/>
      <c r="X1567" s="3"/>
      <c r="Y1567" s="3"/>
    </row>
    <row r="1568" spans="3:25" x14ac:dyDescent="0.2">
      <c r="C1568" s="3"/>
      <c r="E1568" s="3"/>
      <c r="G1568" s="3"/>
      <c r="I1568" s="3"/>
      <c r="K1568" s="3"/>
      <c r="M1568" s="3"/>
      <c r="O1568" s="3"/>
      <c r="Q1568" s="3"/>
      <c r="S1568" s="3"/>
      <c r="U1568" s="3"/>
      <c r="V1568" s="3"/>
      <c r="W1568" s="3"/>
      <c r="X1568" s="3"/>
      <c r="Y1568" s="3"/>
    </row>
    <row r="1569" spans="3:25" x14ac:dyDescent="0.2">
      <c r="C1569" s="3"/>
      <c r="E1569" s="3"/>
      <c r="G1569" s="3"/>
      <c r="I1569" s="3"/>
      <c r="K1569" s="3"/>
      <c r="M1569" s="3"/>
      <c r="O1569" s="3"/>
      <c r="Q1569" s="3"/>
      <c r="S1569" s="3"/>
      <c r="U1569" s="3"/>
      <c r="V1569" s="3"/>
      <c r="W1569" s="3"/>
      <c r="X1569" s="3"/>
      <c r="Y1569" s="3"/>
    </row>
    <row r="1570" spans="3:25" x14ac:dyDescent="0.2">
      <c r="C1570" s="3"/>
      <c r="E1570" s="3"/>
      <c r="G1570" s="3"/>
      <c r="I1570" s="3"/>
      <c r="K1570" s="3"/>
      <c r="M1570" s="3"/>
      <c r="O1570" s="3"/>
      <c r="Q1570" s="3"/>
      <c r="S1570" s="3"/>
      <c r="U1570" s="3"/>
      <c r="V1570" s="3"/>
      <c r="W1570" s="3"/>
      <c r="X1570" s="3"/>
      <c r="Y1570" s="3"/>
    </row>
    <row r="1571" spans="3:25" x14ac:dyDescent="0.2">
      <c r="C1571" s="3"/>
      <c r="E1571" s="3"/>
      <c r="G1571" s="3"/>
      <c r="I1571" s="3"/>
      <c r="K1571" s="3"/>
      <c r="M1571" s="3"/>
      <c r="O1571" s="3"/>
      <c r="Q1571" s="3"/>
      <c r="S1571" s="3"/>
      <c r="U1571" s="3"/>
      <c r="V1571" s="3"/>
      <c r="W1571" s="3"/>
      <c r="X1571" s="3"/>
      <c r="Y1571" s="3"/>
    </row>
    <row r="1572" spans="3:25" x14ac:dyDescent="0.2">
      <c r="C1572" s="3"/>
      <c r="E1572" s="3"/>
      <c r="G1572" s="3"/>
      <c r="I1572" s="3"/>
      <c r="K1572" s="3"/>
      <c r="M1572" s="3"/>
      <c r="O1572" s="3"/>
      <c r="Q1572" s="3"/>
      <c r="S1572" s="3"/>
      <c r="U1572" s="3"/>
      <c r="V1572" s="3"/>
      <c r="W1572" s="3"/>
      <c r="X1572" s="3"/>
      <c r="Y1572" s="3"/>
    </row>
    <row r="1573" spans="3:25" x14ac:dyDescent="0.2">
      <c r="C1573" s="3"/>
      <c r="E1573" s="3"/>
      <c r="G1573" s="3"/>
      <c r="I1573" s="3"/>
      <c r="K1573" s="3"/>
      <c r="M1573" s="3"/>
      <c r="O1573" s="3"/>
      <c r="Q1573" s="3"/>
      <c r="S1573" s="3"/>
      <c r="U1573" s="3"/>
      <c r="V1573" s="3"/>
      <c r="W1573" s="3"/>
      <c r="X1573" s="3"/>
      <c r="Y1573" s="3"/>
    </row>
    <row r="1574" spans="3:25" x14ac:dyDescent="0.2">
      <c r="C1574" s="3"/>
      <c r="E1574" s="3"/>
      <c r="G1574" s="3"/>
      <c r="I1574" s="3"/>
      <c r="K1574" s="3"/>
      <c r="M1574" s="3"/>
      <c r="O1574" s="3"/>
      <c r="Q1574" s="3"/>
      <c r="S1574" s="3"/>
      <c r="U1574" s="3"/>
      <c r="V1574" s="3"/>
      <c r="W1574" s="3"/>
      <c r="X1574" s="3"/>
      <c r="Y1574" s="3"/>
    </row>
    <row r="1575" spans="3:25" x14ac:dyDescent="0.2">
      <c r="C1575" s="3"/>
      <c r="E1575" s="3"/>
      <c r="G1575" s="3"/>
      <c r="I1575" s="3"/>
      <c r="K1575" s="3"/>
      <c r="M1575" s="3"/>
      <c r="O1575" s="3"/>
      <c r="Q1575" s="3"/>
      <c r="S1575" s="3"/>
      <c r="U1575" s="3"/>
      <c r="V1575" s="3"/>
      <c r="W1575" s="3"/>
      <c r="X1575" s="3"/>
      <c r="Y1575" s="3"/>
    </row>
    <row r="1576" spans="3:25" x14ac:dyDescent="0.2">
      <c r="C1576" s="3"/>
      <c r="E1576" s="3"/>
      <c r="G1576" s="3"/>
      <c r="I1576" s="3"/>
      <c r="K1576" s="3"/>
      <c r="M1576" s="3"/>
      <c r="O1576" s="3"/>
      <c r="Q1576" s="3"/>
      <c r="S1576" s="3"/>
      <c r="U1576" s="3"/>
      <c r="V1576" s="3"/>
      <c r="W1576" s="3"/>
      <c r="X1576" s="3"/>
      <c r="Y1576" s="3"/>
    </row>
    <row r="1577" spans="3:25" x14ac:dyDescent="0.2">
      <c r="C1577" s="3"/>
      <c r="E1577" s="3"/>
      <c r="G1577" s="3"/>
      <c r="I1577" s="3"/>
      <c r="K1577" s="3"/>
      <c r="M1577" s="3"/>
      <c r="O1577" s="3"/>
      <c r="Q1577" s="3"/>
      <c r="S1577" s="3"/>
      <c r="U1577" s="3"/>
      <c r="V1577" s="3"/>
      <c r="W1577" s="3"/>
      <c r="X1577" s="3"/>
      <c r="Y1577" s="3"/>
    </row>
    <row r="1578" spans="3:25" x14ac:dyDescent="0.2">
      <c r="C1578" s="3"/>
      <c r="E1578" s="3"/>
      <c r="G1578" s="3"/>
      <c r="I1578" s="3"/>
      <c r="K1578" s="3"/>
      <c r="M1578" s="3"/>
      <c r="O1578" s="3"/>
      <c r="Q1578" s="3"/>
      <c r="S1578" s="3"/>
      <c r="U1578" s="3"/>
      <c r="V1578" s="3"/>
      <c r="W1578" s="3"/>
      <c r="X1578" s="3"/>
      <c r="Y1578" s="3"/>
    </row>
    <row r="1579" spans="3:25" x14ac:dyDescent="0.2">
      <c r="C1579" s="3"/>
      <c r="E1579" s="3"/>
      <c r="G1579" s="3"/>
      <c r="I1579" s="3"/>
      <c r="K1579" s="3"/>
      <c r="M1579" s="3"/>
      <c r="O1579" s="3"/>
      <c r="Q1579" s="3"/>
      <c r="S1579" s="3"/>
      <c r="U1579" s="3"/>
      <c r="V1579" s="3"/>
      <c r="W1579" s="3"/>
      <c r="X1579" s="3"/>
      <c r="Y1579" s="3"/>
    </row>
    <row r="1580" spans="3:25" x14ac:dyDescent="0.2">
      <c r="C1580" s="3"/>
      <c r="E1580" s="3"/>
      <c r="G1580" s="3"/>
      <c r="I1580" s="3"/>
      <c r="K1580" s="3"/>
      <c r="M1580" s="3"/>
      <c r="O1580" s="3"/>
      <c r="Q1580" s="3"/>
      <c r="S1580" s="3"/>
      <c r="U1580" s="3"/>
      <c r="V1580" s="3"/>
      <c r="W1580" s="3"/>
      <c r="X1580" s="3"/>
      <c r="Y1580" s="3"/>
    </row>
    <row r="1581" spans="3:25" x14ac:dyDescent="0.2">
      <c r="C1581" s="3"/>
      <c r="E1581" s="3"/>
      <c r="G1581" s="3"/>
      <c r="I1581" s="3"/>
      <c r="K1581" s="3"/>
      <c r="M1581" s="3"/>
      <c r="O1581" s="3"/>
      <c r="Q1581" s="3"/>
      <c r="S1581" s="3"/>
      <c r="U1581" s="3"/>
      <c r="V1581" s="3"/>
      <c r="W1581" s="3"/>
      <c r="X1581" s="3"/>
      <c r="Y1581" s="3"/>
    </row>
    <row r="1582" spans="3:25" x14ac:dyDescent="0.2">
      <c r="C1582" s="3"/>
      <c r="E1582" s="3"/>
      <c r="G1582" s="3"/>
      <c r="I1582" s="3"/>
      <c r="K1582" s="3"/>
      <c r="M1582" s="3"/>
      <c r="O1582" s="3"/>
      <c r="Q1582" s="3"/>
      <c r="S1582" s="3"/>
      <c r="U1582" s="3"/>
      <c r="V1582" s="3"/>
      <c r="W1582" s="3"/>
      <c r="X1582" s="3"/>
      <c r="Y1582" s="3"/>
    </row>
    <row r="1583" spans="3:25" x14ac:dyDescent="0.2">
      <c r="C1583" s="3"/>
      <c r="E1583" s="3"/>
      <c r="G1583" s="3"/>
      <c r="I1583" s="3"/>
      <c r="K1583" s="3"/>
      <c r="M1583" s="3"/>
      <c r="O1583" s="3"/>
      <c r="Q1583" s="3"/>
      <c r="S1583" s="3"/>
      <c r="U1583" s="3"/>
      <c r="V1583" s="3"/>
      <c r="W1583" s="3"/>
      <c r="X1583" s="3"/>
      <c r="Y1583" s="3"/>
    </row>
    <row r="1584" spans="3:25" x14ac:dyDescent="0.2">
      <c r="C1584" s="3"/>
      <c r="E1584" s="3"/>
      <c r="G1584" s="3"/>
      <c r="I1584" s="3"/>
      <c r="K1584" s="3"/>
      <c r="M1584" s="3"/>
      <c r="O1584" s="3"/>
      <c r="Q1584" s="3"/>
      <c r="S1584" s="3"/>
      <c r="U1584" s="3"/>
      <c r="V1584" s="3"/>
      <c r="W1584" s="3"/>
      <c r="X1584" s="3"/>
      <c r="Y1584" s="3"/>
    </row>
    <row r="1585" spans="3:25" x14ac:dyDescent="0.2">
      <c r="C1585" s="3"/>
      <c r="E1585" s="3"/>
      <c r="G1585" s="3"/>
      <c r="I1585" s="3"/>
      <c r="K1585" s="3"/>
      <c r="M1585" s="3"/>
      <c r="O1585" s="3"/>
      <c r="Q1585" s="3"/>
      <c r="S1585" s="3"/>
      <c r="U1585" s="3"/>
      <c r="V1585" s="3"/>
      <c r="W1585" s="3"/>
      <c r="X1585" s="3"/>
      <c r="Y1585" s="3"/>
    </row>
    <row r="1586" spans="3:25" x14ac:dyDescent="0.2">
      <c r="C1586" s="3"/>
      <c r="E1586" s="3"/>
      <c r="G1586" s="3"/>
      <c r="I1586" s="3"/>
      <c r="K1586" s="3"/>
      <c r="M1586" s="3"/>
      <c r="O1586" s="3"/>
      <c r="Q1586" s="3"/>
      <c r="S1586" s="3"/>
      <c r="U1586" s="3"/>
      <c r="V1586" s="3"/>
      <c r="W1586" s="3"/>
      <c r="X1586" s="3"/>
      <c r="Y1586" s="3"/>
    </row>
    <row r="1587" spans="3:25" x14ac:dyDescent="0.2">
      <c r="C1587" s="3"/>
      <c r="E1587" s="3"/>
      <c r="G1587" s="3"/>
      <c r="I1587" s="3"/>
      <c r="K1587" s="3"/>
      <c r="M1587" s="3"/>
      <c r="O1587" s="3"/>
      <c r="Q1587" s="3"/>
      <c r="S1587" s="3"/>
      <c r="U1587" s="3"/>
      <c r="V1587" s="3"/>
      <c r="W1587" s="3"/>
      <c r="X1587" s="3"/>
      <c r="Y1587" s="3"/>
    </row>
    <row r="1588" spans="3:25" x14ac:dyDescent="0.2">
      <c r="C1588" s="3"/>
      <c r="E1588" s="3"/>
      <c r="G1588" s="3"/>
      <c r="I1588" s="3"/>
      <c r="K1588" s="3"/>
      <c r="M1588" s="3"/>
      <c r="O1588" s="3"/>
      <c r="Q1588" s="3"/>
      <c r="S1588" s="3"/>
      <c r="U1588" s="3"/>
      <c r="V1588" s="3"/>
      <c r="W1588" s="3"/>
      <c r="X1588" s="3"/>
      <c r="Y1588" s="3"/>
    </row>
    <row r="1589" spans="3:25" x14ac:dyDescent="0.2">
      <c r="C1589" s="3"/>
      <c r="E1589" s="3"/>
      <c r="G1589" s="3"/>
      <c r="I1589" s="3"/>
      <c r="K1589" s="3"/>
      <c r="M1589" s="3"/>
      <c r="O1589" s="3"/>
      <c r="Q1589" s="3"/>
      <c r="S1589" s="3"/>
      <c r="U1589" s="3"/>
      <c r="V1589" s="3"/>
      <c r="W1589" s="3"/>
      <c r="X1589" s="3"/>
      <c r="Y1589" s="3"/>
    </row>
    <row r="1590" spans="3:25" x14ac:dyDescent="0.2">
      <c r="C1590" s="3"/>
      <c r="E1590" s="3"/>
      <c r="G1590" s="3"/>
      <c r="I1590" s="3"/>
      <c r="K1590" s="3"/>
      <c r="M1590" s="3"/>
      <c r="O1590" s="3"/>
      <c r="Q1590" s="3"/>
      <c r="S1590" s="3"/>
      <c r="U1590" s="3"/>
      <c r="V1590" s="3"/>
      <c r="W1590" s="3"/>
      <c r="X1590" s="3"/>
      <c r="Y1590" s="3"/>
    </row>
    <row r="1591" spans="3:25" x14ac:dyDescent="0.2">
      <c r="C1591" s="3"/>
      <c r="E1591" s="3"/>
      <c r="G1591" s="3"/>
      <c r="I1591" s="3"/>
      <c r="K1591" s="3"/>
      <c r="M1591" s="3"/>
      <c r="O1591" s="3"/>
      <c r="Q1591" s="3"/>
      <c r="S1591" s="3"/>
      <c r="U1591" s="3"/>
      <c r="V1591" s="3"/>
      <c r="W1591" s="3"/>
      <c r="X1591" s="3"/>
      <c r="Y1591" s="3"/>
    </row>
    <row r="1592" spans="3:25" x14ac:dyDescent="0.2">
      <c r="C1592" s="3"/>
      <c r="E1592" s="3"/>
      <c r="G1592" s="3"/>
      <c r="I1592" s="3"/>
      <c r="K1592" s="3"/>
      <c r="M1592" s="3"/>
      <c r="O1592" s="3"/>
      <c r="Q1592" s="3"/>
      <c r="S1592" s="3"/>
      <c r="U1592" s="3"/>
      <c r="V1592" s="3"/>
      <c r="W1592" s="3"/>
      <c r="X1592" s="3"/>
      <c r="Y1592" s="3"/>
    </row>
    <row r="1593" spans="3:25" x14ac:dyDescent="0.2">
      <c r="C1593" s="3"/>
      <c r="E1593" s="3"/>
      <c r="G1593" s="3"/>
      <c r="I1593" s="3"/>
      <c r="K1593" s="3"/>
      <c r="M1593" s="3"/>
      <c r="O1593" s="3"/>
      <c r="Q1593" s="3"/>
      <c r="S1593" s="3"/>
      <c r="U1593" s="3"/>
      <c r="V1593" s="3"/>
      <c r="W1593" s="3"/>
      <c r="X1593" s="3"/>
      <c r="Y1593" s="3"/>
    </row>
    <row r="1594" spans="3:25" x14ac:dyDescent="0.2">
      <c r="C1594" s="3"/>
      <c r="E1594" s="3"/>
      <c r="G1594" s="3"/>
      <c r="I1594" s="3"/>
      <c r="K1594" s="3"/>
      <c r="M1594" s="3"/>
      <c r="O1594" s="3"/>
      <c r="Q1594" s="3"/>
      <c r="S1594" s="3"/>
      <c r="U1594" s="3"/>
      <c r="V1594" s="3"/>
      <c r="W1594" s="3"/>
      <c r="X1594" s="3"/>
      <c r="Y1594" s="3"/>
    </row>
    <row r="1595" spans="3:25" x14ac:dyDescent="0.2">
      <c r="C1595" s="3"/>
      <c r="E1595" s="3"/>
      <c r="G1595" s="3"/>
      <c r="I1595" s="3"/>
      <c r="K1595" s="3"/>
      <c r="M1595" s="3"/>
      <c r="O1595" s="3"/>
      <c r="Q1595" s="3"/>
      <c r="S1595" s="3"/>
      <c r="U1595" s="3"/>
      <c r="V1595" s="3"/>
      <c r="W1595" s="3"/>
      <c r="X1595" s="3"/>
      <c r="Y1595" s="3"/>
    </row>
    <row r="1596" spans="3:25" x14ac:dyDescent="0.2">
      <c r="C1596" s="3"/>
      <c r="E1596" s="3"/>
      <c r="G1596" s="3"/>
      <c r="I1596" s="3"/>
      <c r="K1596" s="3"/>
      <c r="M1596" s="3"/>
      <c r="O1596" s="3"/>
      <c r="Q1596" s="3"/>
      <c r="S1596" s="3"/>
      <c r="U1596" s="3"/>
      <c r="V1596" s="3"/>
      <c r="W1596" s="3"/>
      <c r="X1596" s="3"/>
      <c r="Y1596" s="3"/>
    </row>
    <row r="1597" spans="3:25" x14ac:dyDescent="0.2">
      <c r="C1597" s="3"/>
      <c r="E1597" s="3"/>
      <c r="G1597" s="3"/>
      <c r="I1597" s="3"/>
      <c r="K1597" s="3"/>
      <c r="M1597" s="3"/>
      <c r="O1597" s="3"/>
      <c r="Q1597" s="3"/>
      <c r="S1597" s="3"/>
      <c r="U1597" s="3"/>
      <c r="V1597" s="3"/>
      <c r="W1597" s="3"/>
      <c r="X1597" s="3"/>
      <c r="Y1597" s="3"/>
    </row>
    <row r="1598" spans="3:25" x14ac:dyDescent="0.2">
      <c r="C1598" s="3"/>
      <c r="E1598" s="3"/>
      <c r="G1598" s="3"/>
      <c r="I1598" s="3"/>
      <c r="K1598" s="3"/>
      <c r="M1598" s="3"/>
      <c r="O1598" s="3"/>
      <c r="Q1598" s="3"/>
      <c r="S1598" s="3"/>
      <c r="U1598" s="3"/>
      <c r="V1598" s="3"/>
      <c r="W1598" s="3"/>
      <c r="X1598" s="3"/>
      <c r="Y1598" s="3"/>
    </row>
    <row r="1599" spans="3:25" x14ac:dyDescent="0.2">
      <c r="C1599" s="3"/>
      <c r="E1599" s="3"/>
      <c r="G1599" s="3"/>
      <c r="I1599" s="3"/>
      <c r="K1599" s="3"/>
      <c r="M1599" s="3"/>
      <c r="O1599" s="3"/>
      <c r="Q1599" s="3"/>
      <c r="S1599" s="3"/>
      <c r="U1599" s="3"/>
      <c r="V1599" s="3"/>
      <c r="W1599" s="3"/>
      <c r="X1599" s="3"/>
      <c r="Y1599" s="3"/>
    </row>
    <row r="1600" spans="3:25" x14ac:dyDescent="0.2">
      <c r="C1600" s="3"/>
      <c r="E1600" s="3"/>
      <c r="G1600" s="3"/>
      <c r="I1600" s="3"/>
      <c r="K1600" s="3"/>
      <c r="M1600" s="3"/>
      <c r="O1600" s="3"/>
      <c r="Q1600" s="3"/>
      <c r="S1600" s="3"/>
      <c r="U1600" s="3"/>
      <c r="V1600" s="3"/>
      <c r="W1600" s="3"/>
      <c r="X1600" s="3"/>
      <c r="Y1600" s="3"/>
    </row>
    <row r="1601" spans="3:25" x14ac:dyDescent="0.2">
      <c r="C1601" s="3"/>
      <c r="E1601" s="3"/>
      <c r="G1601" s="3"/>
      <c r="I1601" s="3"/>
      <c r="K1601" s="3"/>
      <c r="M1601" s="3"/>
      <c r="O1601" s="3"/>
      <c r="Q1601" s="3"/>
      <c r="S1601" s="3"/>
      <c r="U1601" s="3"/>
      <c r="V1601" s="3"/>
      <c r="W1601" s="3"/>
      <c r="X1601" s="3"/>
      <c r="Y1601" s="3"/>
    </row>
    <row r="1602" spans="3:25" x14ac:dyDescent="0.2">
      <c r="C1602" s="3"/>
      <c r="E1602" s="3"/>
      <c r="G1602" s="3"/>
      <c r="I1602" s="3"/>
      <c r="K1602" s="3"/>
      <c r="M1602" s="3"/>
      <c r="O1602" s="3"/>
      <c r="Q1602" s="3"/>
      <c r="S1602" s="3"/>
      <c r="U1602" s="3"/>
      <c r="V1602" s="3"/>
      <c r="W1602" s="3"/>
      <c r="X1602" s="3"/>
      <c r="Y1602" s="3"/>
    </row>
    <row r="1603" spans="3:25" x14ac:dyDescent="0.2">
      <c r="C1603" s="3"/>
      <c r="E1603" s="3"/>
      <c r="G1603" s="3"/>
      <c r="I1603" s="3"/>
      <c r="K1603" s="3"/>
      <c r="M1603" s="3"/>
      <c r="O1603" s="3"/>
      <c r="Q1603" s="3"/>
      <c r="S1603" s="3"/>
      <c r="U1603" s="3"/>
      <c r="V1603" s="3"/>
      <c r="W1603" s="3"/>
      <c r="X1603" s="3"/>
      <c r="Y1603" s="3"/>
    </row>
    <row r="1604" spans="3:25" x14ac:dyDescent="0.2">
      <c r="C1604" s="3"/>
      <c r="E1604" s="3"/>
      <c r="G1604" s="3"/>
      <c r="I1604" s="3"/>
      <c r="K1604" s="3"/>
      <c r="M1604" s="3"/>
      <c r="O1604" s="3"/>
      <c r="Q1604" s="3"/>
      <c r="S1604" s="3"/>
      <c r="U1604" s="3"/>
      <c r="V1604" s="3"/>
      <c r="W1604" s="3"/>
      <c r="X1604" s="3"/>
      <c r="Y1604" s="3"/>
    </row>
    <row r="1605" spans="3:25" x14ac:dyDescent="0.2">
      <c r="C1605" s="3"/>
      <c r="E1605" s="3"/>
      <c r="G1605" s="3"/>
      <c r="I1605" s="3"/>
      <c r="K1605" s="3"/>
      <c r="M1605" s="3"/>
      <c r="O1605" s="3"/>
      <c r="Q1605" s="3"/>
      <c r="S1605" s="3"/>
      <c r="U1605" s="3"/>
      <c r="V1605" s="3"/>
      <c r="W1605" s="3"/>
      <c r="X1605" s="3"/>
      <c r="Y1605" s="3"/>
    </row>
    <row r="1606" spans="3:25" x14ac:dyDescent="0.2">
      <c r="C1606" s="3"/>
      <c r="E1606" s="3"/>
      <c r="G1606" s="3"/>
      <c r="I1606" s="3"/>
      <c r="K1606" s="3"/>
      <c r="M1606" s="3"/>
      <c r="O1606" s="3"/>
      <c r="Q1606" s="3"/>
      <c r="S1606" s="3"/>
      <c r="U1606" s="3"/>
      <c r="V1606" s="3"/>
      <c r="W1606" s="3"/>
      <c r="X1606" s="3"/>
      <c r="Y1606" s="3"/>
    </row>
    <row r="1607" spans="3:25" x14ac:dyDescent="0.2">
      <c r="C1607" s="3"/>
      <c r="E1607" s="3"/>
      <c r="G1607" s="3"/>
      <c r="I1607" s="3"/>
      <c r="K1607" s="3"/>
      <c r="M1607" s="3"/>
      <c r="O1607" s="3"/>
      <c r="Q1607" s="3"/>
      <c r="S1607" s="3"/>
      <c r="U1607" s="3"/>
      <c r="V1607" s="3"/>
      <c r="W1607" s="3"/>
      <c r="X1607" s="3"/>
      <c r="Y1607" s="3"/>
    </row>
    <row r="1608" spans="3:25" x14ac:dyDescent="0.2">
      <c r="C1608" s="3"/>
      <c r="E1608" s="3"/>
      <c r="G1608" s="3"/>
      <c r="I1608" s="3"/>
      <c r="K1608" s="3"/>
      <c r="M1608" s="3"/>
      <c r="O1608" s="3"/>
      <c r="Q1608" s="3"/>
      <c r="S1608" s="3"/>
      <c r="U1608" s="3"/>
      <c r="V1608" s="3"/>
      <c r="W1608" s="3"/>
      <c r="X1608" s="3"/>
      <c r="Y1608" s="3"/>
    </row>
    <row r="1609" spans="3:25" x14ac:dyDescent="0.2">
      <c r="C1609" s="3"/>
      <c r="E1609" s="3"/>
      <c r="G1609" s="3"/>
      <c r="I1609" s="3"/>
      <c r="K1609" s="3"/>
      <c r="M1609" s="3"/>
      <c r="O1609" s="3"/>
      <c r="Q1609" s="3"/>
      <c r="S1609" s="3"/>
      <c r="U1609" s="3"/>
      <c r="V1609" s="3"/>
      <c r="W1609" s="3"/>
      <c r="X1609" s="3"/>
      <c r="Y1609" s="3"/>
    </row>
    <row r="1610" spans="3:25" x14ac:dyDescent="0.2">
      <c r="C1610" s="3"/>
      <c r="E1610" s="3"/>
      <c r="G1610" s="3"/>
      <c r="I1610" s="3"/>
      <c r="K1610" s="3"/>
      <c r="M1610" s="3"/>
      <c r="O1610" s="3"/>
      <c r="Q1610" s="3"/>
      <c r="S1610" s="3"/>
      <c r="U1610" s="3"/>
      <c r="V1610" s="3"/>
      <c r="W1610" s="3"/>
      <c r="X1610" s="3"/>
      <c r="Y1610" s="3"/>
    </row>
    <row r="1611" spans="3:25" x14ac:dyDescent="0.2">
      <c r="C1611" s="3"/>
      <c r="E1611" s="3"/>
      <c r="G1611" s="3"/>
      <c r="I1611" s="3"/>
      <c r="K1611" s="3"/>
      <c r="M1611" s="3"/>
      <c r="O1611" s="3"/>
      <c r="Q1611" s="3"/>
      <c r="S1611" s="3"/>
      <c r="U1611" s="3"/>
      <c r="V1611" s="3"/>
      <c r="W1611" s="3"/>
      <c r="X1611" s="3"/>
      <c r="Y1611" s="3"/>
    </row>
    <row r="1612" spans="3:25" x14ac:dyDescent="0.2">
      <c r="C1612" s="3"/>
      <c r="E1612" s="3"/>
      <c r="G1612" s="3"/>
      <c r="I1612" s="3"/>
      <c r="K1612" s="3"/>
      <c r="M1612" s="3"/>
      <c r="O1612" s="3"/>
      <c r="Q1612" s="3"/>
      <c r="S1612" s="3"/>
      <c r="U1612" s="3"/>
      <c r="V1612" s="3"/>
      <c r="W1612" s="3"/>
      <c r="X1612" s="3"/>
      <c r="Y1612" s="3"/>
    </row>
    <row r="1613" spans="3:25" x14ac:dyDescent="0.2">
      <c r="C1613" s="3"/>
      <c r="E1613" s="3"/>
      <c r="G1613" s="3"/>
      <c r="I1613" s="3"/>
      <c r="K1613" s="3"/>
      <c r="M1613" s="3"/>
      <c r="O1613" s="3"/>
      <c r="Q1613" s="3"/>
      <c r="S1613" s="3"/>
      <c r="U1613" s="3"/>
      <c r="V1613" s="3"/>
      <c r="W1613" s="3"/>
      <c r="X1613" s="3"/>
      <c r="Y1613" s="3"/>
    </row>
    <row r="1614" spans="3:25" x14ac:dyDescent="0.2">
      <c r="C1614" s="3"/>
      <c r="E1614" s="3"/>
      <c r="G1614" s="3"/>
      <c r="I1614" s="3"/>
      <c r="K1614" s="3"/>
      <c r="M1614" s="3"/>
      <c r="O1614" s="3"/>
      <c r="Q1614" s="3"/>
      <c r="S1614" s="3"/>
      <c r="U1614" s="3"/>
      <c r="V1614" s="3"/>
      <c r="W1614" s="3"/>
      <c r="X1614" s="3"/>
      <c r="Y1614" s="3"/>
    </row>
    <row r="1615" spans="3:25" x14ac:dyDescent="0.2">
      <c r="C1615" s="3"/>
      <c r="E1615" s="3"/>
      <c r="G1615" s="3"/>
      <c r="I1615" s="3"/>
      <c r="K1615" s="3"/>
      <c r="M1615" s="3"/>
      <c r="O1615" s="3"/>
      <c r="Q1615" s="3"/>
      <c r="S1615" s="3"/>
      <c r="U1615" s="3"/>
      <c r="V1615" s="3"/>
      <c r="W1615" s="3"/>
      <c r="X1615" s="3"/>
      <c r="Y1615" s="3"/>
    </row>
    <row r="1616" spans="3:25" x14ac:dyDescent="0.2">
      <c r="C1616" s="3"/>
      <c r="E1616" s="3"/>
      <c r="G1616" s="3"/>
      <c r="I1616" s="3"/>
      <c r="K1616" s="3"/>
      <c r="M1616" s="3"/>
      <c r="O1616" s="3"/>
      <c r="Q1616" s="3"/>
      <c r="S1616" s="3"/>
      <c r="U1616" s="3"/>
      <c r="V1616" s="3"/>
      <c r="W1616" s="3"/>
      <c r="X1616" s="3"/>
      <c r="Y1616" s="3"/>
    </row>
    <row r="1617" spans="3:25" x14ac:dyDescent="0.2">
      <c r="C1617" s="3"/>
      <c r="E1617" s="3"/>
      <c r="G1617" s="3"/>
      <c r="I1617" s="3"/>
      <c r="K1617" s="3"/>
      <c r="M1617" s="3"/>
      <c r="O1617" s="3"/>
      <c r="Q1617" s="3"/>
      <c r="S1617" s="3"/>
      <c r="U1617" s="3"/>
      <c r="V1617" s="3"/>
      <c r="W1617" s="3"/>
      <c r="X1617" s="3"/>
      <c r="Y1617" s="3"/>
    </row>
    <row r="1618" spans="3:25" x14ac:dyDescent="0.2">
      <c r="C1618" s="3"/>
      <c r="E1618" s="3"/>
      <c r="G1618" s="3"/>
      <c r="I1618" s="3"/>
      <c r="K1618" s="3"/>
      <c r="M1618" s="3"/>
      <c r="O1618" s="3"/>
      <c r="Q1618" s="3"/>
      <c r="S1618" s="3"/>
      <c r="U1618" s="3"/>
      <c r="V1618" s="3"/>
      <c r="W1618" s="3"/>
      <c r="X1618" s="3"/>
      <c r="Y1618" s="3"/>
    </row>
    <row r="1619" spans="3:25" x14ac:dyDescent="0.2">
      <c r="C1619" s="3"/>
      <c r="E1619" s="3"/>
      <c r="G1619" s="3"/>
      <c r="I1619" s="3"/>
      <c r="K1619" s="3"/>
      <c r="M1619" s="3"/>
      <c r="O1619" s="3"/>
      <c r="Q1619" s="3"/>
      <c r="S1619" s="3"/>
      <c r="U1619" s="3"/>
      <c r="V1619" s="3"/>
      <c r="W1619" s="3"/>
      <c r="X1619" s="3"/>
      <c r="Y1619" s="3"/>
    </row>
    <row r="1620" spans="3:25" x14ac:dyDescent="0.2">
      <c r="C1620" s="3"/>
      <c r="E1620" s="3"/>
      <c r="G1620" s="3"/>
      <c r="I1620" s="3"/>
      <c r="K1620" s="3"/>
      <c r="M1620" s="3"/>
      <c r="O1620" s="3"/>
      <c r="Q1620" s="3"/>
      <c r="S1620" s="3"/>
      <c r="U1620" s="3"/>
      <c r="V1620" s="3"/>
      <c r="W1620" s="3"/>
      <c r="X1620" s="3"/>
      <c r="Y1620" s="3"/>
    </row>
    <row r="1621" spans="3:25" x14ac:dyDescent="0.2">
      <c r="C1621" s="3"/>
      <c r="E1621" s="3"/>
      <c r="G1621" s="3"/>
      <c r="I1621" s="3"/>
      <c r="K1621" s="3"/>
      <c r="M1621" s="3"/>
      <c r="O1621" s="3"/>
      <c r="Q1621" s="3"/>
      <c r="S1621" s="3"/>
      <c r="U1621" s="3"/>
      <c r="V1621" s="3"/>
      <c r="W1621" s="3"/>
      <c r="X1621" s="3"/>
      <c r="Y1621" s="3"/>
    </row>
    <row r="1622" spans="3:25" x14ac:dyDescent="0.2">
      <c r="C1622" s="3"/>
      <c r="E1622" s="3"/>
      <c r="G1622" s="3"/>
      <c r="I1622" s="3"/>
      <c r="K1622" s="3"/>
      <c r="M1622" s="3"/>
      <c r="O1622" s="3"/>
      <c r="Q1622" s="3"/>
      <c r="S1622" s="3"/>
      <c r="U1622" s="3"/>
      <c r="V1622" s="3"/>
      <c r="W1622" s="3"/>
      <c r="X1622" s="3"/>
      <c r="Y1622" s="3"/>
    </row>
    <row r="1623" spans="3:25" x14ac:dyDescent="0.2">
      <c r="C1623" s="3"/>
      <c r="E1623" s="3"/>
      <c r="G1623" s="3"/>
      <c r="I1623" s="3"/>
      <c r="K1623" s="3"/>
      <c r="M1623" s="3"/>
      <c r="O1623" s="3"/>
      <c r="Q1623" s="3"/>
      <c r="S1623" s="3"/>
      <c r="U1623" s="3"/>
      <c r="V1623" s="3"/>
      <c r="W1623" s="3"/>
      <c r="X1623" s="3"/>
      <c r="Y1623" s="3"/>
    </row>
    <row r="1624" spans="3:25" x14ac:dyDescent="0.2">
      <c r="C1624" s="3"/>
      <c r="E1624" s="3"/>
      <c r="G1624" s="3"/>
      <c r="I1624" s="3"/>
      <c r="K1624" s="3"/>
      <c r="M1624" s="3"/>
      <c r="O1624" s="3"/>
      <c r="Q1624" s="3"/>
      <c r="S1624" s="3"/>
      <c r="U1624" s="3"/>
      <c r="V1624" s="3"/>
      <c r="W1624" s="3"/>
      <c r="X1624" s="3"/>
      <c r="Y1624" s="3"/>
    </row>
    <row r="1625" spans="3:25" x14ac:dyDescent="0.2">
      <c r="C1625" s="3"/>
      <c r="E1625" s="3"/>
      <c r="G1625" s="3"/>
      <c r="I1625" s="3"/>
      <c r="K1625" s="3"/>
      <c r="M1625" s="3"/>
      <c r="O1625" s="3"/>
      <c r="Q1625" s="3"/>
      <c r="S1625" s="3"/>
      <c r="U1625" s="3"/>
      <c r="V1625" s="3"/>
      <c r="W1625" s="3"/>
      <c r="X1625" s="3"/>
      <c r="Y1625" s="3"/>
    </row>
    <row r="1626" spans="3:25" x14ac:dyDescent="0.2">
      <c r="C1626" s="3"/>
      <c r="E1626" s="3"/>
      <c r="G1626" s="3"/>
      <c r="I1626" s="3"/>
      <c r="K1626" s="3"/>
      <c r="M1626" s="3"/>
      <c r="O1626" s="3"/>
      <c r="Q1626" s="3"/>
      <c r="S1626" s="3"/>
      <c r="U1626" s="3"/>
      <c r="V1626" s="3"/>
      <c r="W1626" s="3"/>
      <c r="X1626" s="3"/>
      <c r="Y1626" s="3"/>
    </row>
    <row r="1627" spans="3:25" x14ac:dyDescent="0.2">
      <c r="C1627" s="3"/>
      <c r="E1627" s="3"/>
      <c r="G1627" s="3"/>
      <c r="I1627" s="3"/>
      <c r="K1627" s="3"/>
      <c r="M1627" s="3"/>
      <c r="O1627" s="3"/>
      <c r="Q1627" s="3"/>
      <c r="S1627" s="3"/>
      <c r="U1627" s="3"/>
      <c r="V1627" s="3"/>
      <c r="W1627" s="3"/>
      <c r="X1627" s="3"/>
      <c r="Y1627" s="3"/>
    </row>
    <row r="1628" spans="3:25" x14ac:dyDescent="0.2">
      <c r="C1628" s="3"/>
      <c r="E1628" s="3"/>
      <c r="G1628" s="3"/>
      <c r="I1628" s="3"/>
      <c r="K1628" s="3"/>
      <c r="M1628" s="3"/>
      <c r="O1628" s="3"/>
      <c r="Q1628" s="3"/>
      <c r="S1628" s="3"/>
      <c r="U1628" s="3"/>
      <c r="V1628" s="3"/>
      <c r="W1628" s="3"/>
      <c r="X1628" s="3"/>
      <c r="Y1628" s="3"/>
    </row>
    <row r="1629" spans="3:25" x14ac:dyDescent="0.2">
      <c r="C1629" s="3"/>
      <c r="E1629" s="3"/>
      <c r="G1629" s="3"/>
      <c r="I1629" s="3"/>
      <c r="K1629" s="3"/>
      <c r="M1629" s="3"/>
      <c r="O1629" s="3"/>
      <c r="Q1629" s="3"/>
      <c r="S1629" s="3"/>
      <c r="U1629" s="3"/>
      <c r="V1629" s="3"/>
      <c r="W1629" s="3"/>
      <c r="X1629" s="3"/>
      <c r="Y1629" s="3"/>
    </row>
    <row r="1630" spans="3:25" x14ac:dyDescent="0.2">
      <c r="C1630" s="3"/>
      <c r="E1630" s="3"/>
      <c r="G1630" s="3"/>
      <c r="I1630" s="3"/>
      <c r="K1630" s="3"/>
      <c r="M1630" s="3"/>
      <c r="O1630" s="3"/>
      <c r="Q1630" s="3"/>
      <c r="S1630" s="3"/>
      <c r="U1630" s="3"/>
      <c r="V1630" s="3"/>
      <c r="W1630" s="3"/>
      <c r="X1630" s="3"/>
      <c r="Y1630" s="3"/>
    </row>
    <row r="1631" spans="3:25" x14ac:dyDescent="0.2">
      <c r="C1631" s="3"/>
      <c r="E1631" s="3"/>
      <c r="G1631" s="3"/>
      <c r="I1631" s="3"/>
      <c r="K1631" s="3"/>
      <c r="M1631" s="3"/>
      <c r="O1631" s="3"/>
      <c r="Q1631" s="3"/>
      <c r="S1631" s="3"/>
      <c r="U1631" s="3"/>
      <c r="V1631" s="3"/>
      <c r="W1631" s="3"/>
      <c r="X1631" s="3"/>
      <c r="Y1631" s="3"/>
    </row>
    <row r="1632" spans="3:25" x14ac:dyDescent="0.2">
      <c r="C1632" s="3"/>
      <c r="E1632" s="3"/>
      <c r="G1632" s="3"/>
      <c r="I1632" s="3"/>
      <c r="K1632" s="3"/>
      <c r="M1632" s="3"/>
      <c r="O1632" s="3"/>
      <c r="Q1632" s="3"/>
      <c r="S1632" s="3"/>
      <c r="U1632" s="3"/>
      <c r="V1632" s="3"/>
      <c r="W1632" s="3"/>
      <c r="X1632" s="3"/>
      <c r="Y1632" s="3"/>
    </row>
    <row r="1633" spans="3:25" x14ac:dyDescent="0.2">
      <c r="C1633" s="3"/>
      <c r="E1633" s="3"/>
      <c r="G1633" s="3"/>
      <c r="I1633" s="3"/>
      <c r="K1633" s="3"/>
      <c r="M1633" s="3"/>
      <c r="O1633" s="3"/>
      <c r="Q1633" s="3"/>
      <c r="S1633" s="3"/>
      <c r="U1633" s="3"/>
      <c r="V1633" s="3"/>
      <c r="W1633" s="3"/>
      <c r="X1633" s="3"/>
      <c r="Y1633" s="3"/>
    </row>
    <row r="1634" spans="3:25" x14ac:dyDescent="0.2">
      <c r="C1634" s="3"/>
      <c r="E1634" s="3"/>
      <c r="G1634" s="3"/>
      <c r="I1634" s="3"/>
      <c r="K1634" s="3"/>
      <c r="M1634" s="3"/>
      <c r="O1634" s="3"/>
      <c r="Q1634" s="3"/>
      <c r="S1634" s="3"/>
      <c r="U1634" s="3"/>
      <c r="V1634" s="3"/>
      <c r="W1634" s="3"/>
      <c r="X1634" s="3"/>
      <c r="Y1634" s="3"/>
    </row>
    <row r="1635" spans="3:25" x14ac:dyDescent="0.2">
      <c r="C1635" s="3"/>
      <c r="E1635" s="3"/>
      <c r="G1635" s="3"/>
      <c r="I1635" s="3"/>
      <c r="K1635" s="3"/>
      <c r="M1635" s="3"/>
      <c r="O1635" s="3"/>
      <c r="Q1635" s="3"/>
      <c r="S1635" s="3"/>
      <c r="U1635" s="3"/>
      <c r="V1635" s="3"/>
      <c r="W1635" s="3"/>
      <c r="X1635" s="3"/>
      <c r="Y1635" s="3"/>
    </row>
    <row r="1636" spans="3:25" x14ac:dyDescent="0.2">
      <c r="C1636" s="3"/>
      <c r="E1636" s="3"/>
      <c r="G1636" s="3"/>
      <c r="I1636" s="3"/>
      <c r="K1636" s="3"/>
      <c r="M1636" s="3"/>
      <c r="O1636" s="3"/>
      <c r="Q1636" s="3"/>
      <c r="S1636" s="3"/>
      <c r="U1636" s="3"/>
      <c r="V1636" s="3"/>
      <c r="W1636" s="3"/>
      <c r="X1636" s="3"/>
      <c r="Y1636" s="3"/>
    </row>
    <row r="1637" spans="3:25" x14ac:dyDescent="0.2">
      <c r="C1637" s="3"/>
      <c r="E1637" s="3"/>
      <c r="G1637" s="3"/>
      <c r="I1637" s="3"/>
      <c r="K1637" s="3"/>
      <c r="M1637" s="3"/>
      <c r="O1637" s="3"/>
      <c r="Q1637" s="3"/>
      <c r="S1637" s="3"/>
      <c r="U1637" s="3"/>
      <c r="V1637" s="3"/>
      <c r="W1637" s="3"/>
      <c r="X1637" s="3"/>
      <c r="Y1637" s="3"/>
    </row>
    <row r="1638" spans="3:25" x14ac:dyDescent="0.2">
      <c r="C1638" s="3"/>
      <c r="E1638" s="3"/>
      <c r="G1638" s="3"/>
      <c r="I1638" s="3"/>
      <c r="K1638" s="3"/>
      <c r="M1638" s="3"/>
      <c r="O1638" s="3"/>
      <c r="Q1638" s="3"/>
      <c r="S1638" s="3"/>
      <c r="U1638" s="3"/>
      <c r="V1638" s="3"/>
      <c r="W1638" s="3"/>
      <c r="X1638" s="3"/>
      <c r="Y1638" s="3"/>
    </row>
    <row r="1639" spans="3:25" x14ac:dyDescent="0.2">
      <c r="C1639" s="3"/>
      <c r="E1639" s="3"/>
      <c r="G1639" s="3"/>
      <c r="I1639" s="3"/>
      <c r="K1639" s="3"/>
      <c r="M1639" s="3"/>
      <c r="O1639" s="3"/>
      <c r="Q1639" s="3"/>
      <c r="S1639" s="3"/>
      <c r="U1639" s="3"/>
      <c r="V1639" s="3"/>
      <c r="W1639" s="3"/>
      <c r="X1639" s="3"/>
      <c r="Y1639" s="3"/>
    </row>
    <row r="1640" spans="3:25" x14ac:dyDescent="0.2">
      <c r="C1640" s="3"/>
      <c r="E1640" s="3"/>
      <c r="G1640" s="3"/>
      <c r="I1640" s="3"/>
      <c r="K1640" s="3"/>
      <c r="M1640" s="3"/>
      <c r="O1640" s="3"/>
      <c r="Q1640" s="3"/>
      <c r="S1640" s="3"/>
      <c r="U1640" s="3"/>
      <c r="V1640" s="3"/>
      <c r="W1640" s="3"/>
      <c r="X1640" s="3"/>
      <c r="Y1640" s="3"/>
    </row>
    <row r="1641" spans="3:25" x14ac:dyDescent="0.2">
      <c r="C1641" s="3"/>
      <c r="E1641" s="3"/>
      <c r="G1641" s="3"/>
      <c r="I1641" s="3"/>
      <c r="K1641" s="3"/>
      <c r="M1641" s="3"/>
      <c r="O1641" s="3"/>
      <c r="Q1641" s="3"/>
      <c r="S1641" s="3"/>
      <c r="U1641" s="3"/>
      <c r="V1641" s="3"/>
      <c r="W1641" s="3"/>
      <c r="X1641" s="3"/>
      <c r="Y1641" s="3"/>
    </row>
    <row r="1642" spans="3:25" x14ac:dyDescent="0.2">
      <c r="C1642" s="3"/>
      <c r="E1642" s="3"/>
      <c r="G1642" s="3"/>
      <c r="I1642" s="3"/>
      <c r="K1642" s="3"/>
      <c r="M1642" s="3"/>
      <c r="O1642" s="3"/>
      <c r="Q1642" s="3"/>
      <c r="S1642" s="3"/>
      <c r="U1642" s="3"/>
      <c r="V1642" s="3"/>
      <c r="W1642" s="3"/>
      <c r="X1642" s="3"/>
      <c r="Y1642" s="3"/>
    </row>
    <row r="1643" spans="3:25" x14ac:dyDescent="0.2">
      <c r="C1643" s="3"/>
      <c r="E1643" s="3"/>
      <c r="G1643" s="3"/>
      <c r="I1643" s="3"/>
      <c r="K1643" s="3"/>
      <c r="M1643" s="3"/>
      <c r="O1643" s="3"/>
      <c r="Q1643" s="3"/>
      <c r="S1643" s="3"/>
      <c r="U1643" s="3"/>
      <c r="V1643" s="3"/>
      <c r="W1643" s="3"/>
      <c r="X1643" s="3"/>
      <c r="Y1643" s="3"/>
    </row>
    <row r="1644" spans="3:25" x14ac:dyDescent="0.2">
      <c r="C1644" s="3"/>
      <c r="E1644" s="3"/>
      <c r="G1644" s="3"/>
      <c r="I1644" s="3"/>
      <c r="K1644" s="3"/>
      <c r="M1644" s="3"/>
      <c r="O1644" s="3"/>
      <c r="Q1644" s="3"/>
      <c r="S1644" s="3"/>
      <c r="U1644" s="3"/>
      <c r="V1644" s="3"/>
      <c r="W1644" s="3"/>
      <c r="X1644" s="3"/>
      <c r="Y1644" s="3"/>
    </row>
    <row r="1645" spans="3:25" x14ac:dyDescent="0.2">
      <c r="C1645" s="3"/>
      <c r="E1645" s="3"/>
      <c r="G1645" s="3"/>
      <c r="I1645" s="3"/>
      <c r="K1645" s="3"/>
      <c r="M1645" s="3"/>
      <c r="O1645" s="3"/>
      <c r="Q1645" s="3"/>
      <c r="S1645" s="3"/>
      <c r="U1645" s="3"/>
      <c r="V1645" s="3"/>
      <c r="W1645" s="3"/>
      <c r="X1645" s="3"/>
      <c r="Y1645" s="3"/>
    </row>
    <row r="1646" spans="3:25" x14ac:dyDescent="0.2">
      <c r="C1646" s="3"/>
      <c r="E1646" s="3"/>
      <c r="G1646" s="3"/>
      <c r="I1646" s="3"/>
      <c r="K1646" s="3"/>
      <c r="M1646" s="3"/>
      <c r="O1646" s="3"/>
      <c r="Q1646" s="3"/>
      <c r="S1646" s="3"/>
      <c r="U1646" s="3"/>
      <c r="V1646" s="3"/>
      <c r="W1646" s="3"/>
      <c r="X1646" s="3"/>
      <c r="Y1646" s="3"/>
    </row>
    <row r="1647" spans="3:25" x14ac:dyDescent="0.2">
      <c r="C1647" s="3"/>
      <c r="E1647" s="3"/>
      <c r="G1647" s="3"/>
      <c r="I1647" s="3"/>
      <c r="K1647" s="3"/>
      <c r="M1647" s="3"/>
      <c r="O1647" s="3"/>
      <c r="Q1647" s="3"/>
      <c r="S1647" s="3"/>
      <c r="U1647" s="3"/>
      <c r="V1647" s="3"/>
      <c r="W1647" s="3"/>
      <c r="X1647" s="3"/>
      <c r="Y1647" s="3"/>
    </row>
    <row r="1648" spans="3:25" x14ac:dyDescent="0.2">
      <c r="C1648" s="3"/>
      <c r="E1648" s="3"/>
      <c r="G1648" s="3"/>
      <c r="I1648" s="3"/>
      <c r="K1648" s="3"/>
      <c r="M1648" s="3"/>
      <c r="O1648" s="3"/>
      <c r="Q1648" s="3"/>
      <c r="S1648" s="3"/>
      <c r="U1648" s="3"/>
      <c r="V1648" s="3"/>
      <c r="W1648" s="3"/>
      <c r="X1648" s="3"/>
      <c r="Y1648" s="3"/>
    </row>
    <row r="1649" spans="3:25" x14ac:dyDescent="0.2">
      <c r="C1649" s="3"/>
      <c r="E1649" s="3"/>
      <c r="G1649" s="3"/>
      <c r="I1649" s="3"/>
      <c r="K1649" s="3"/>
      <c r="M1649" s="3"/>
      <c r="O1649" s="3"/>
      <c r="Q1649" s="3"/>
      <c r="S1649" s="3"/>
      <c r="U1649" s="3"/>
      <c r="V1649" s="3"/>
      <c r="W1649" s="3"/>
      <c r="X1649" s="3"/>
      <c r="Y1649" s="3"/>
    </row>
    <row r="1650" spans="3:25" x14ac:dyDescent="0.2">
      <c r="C1650" s="3"/>
      <c r="E1650" s="3"/>
      <c r="G1650" s="3"/>
      <c r="I1650" s="3"/>
      <c r="K1650" s="3"/>
      <c r="M1650" s="3"/>
      <c r="O1650" s="3"/>
      <c r="Q1650" s="3"/>
      <c r="S1650" s="3"/>
      <c r="U1650" s="3"/>
      <c r="V1650" s="3"/>
      <c r="W1650" s="3"/>
      <c r="X1650" s="3"/>
      <c r="Y1650" s="3"/>
    </row>
    <row r="1651" spans="3:25" x14ac:dyDescent="0.2">
      <c r="C1651" s="3"/>
      <c r="E1651" s="3"/>
      <c r="G1651" s="3"/>
      <c r="I1651" s="3"/>
      <c r="K1651" s="3"/>
      <c r="M1651" s="3"/>
      <c r="O1651" s="3"/>
      <c r="Q1651" s="3"/>
      <c r="S1651" s="3"/>
      <c r="U1651" s="3"/>
      <c r="V1651" s="3"/>
      <c r="W1651" s="3"/>
      <c r="X1651" s="3"/>
      <c r="Y1651" s="3"/>
    </row>
    <row r="1652" spans="3:25" x14ac:dyDescent="0.2">
      <c r="C1652" s="3"/>
      <c r="E1652" s="3"/>
      <c r="G1652" s="3"/>
      <c r="I1652" s="3"/>
      <c r="K1652" s="3"/>
      <c r="M1652" s="3"/>
      <c r="O1652" s="3"/>
      <c r="Q1652" s="3"/>
      <c r="S1652" s="3"/>
      <c r="U1652" s="3"/>
      <c r="V1652" s="3"/>
      <c r="W1652" s="3"/>
      <c r="X1652" s="3"/>
      <c r="Y1652" s="3"/>
    </row>
    <row r="1653" spans="3:25" x14ac:dyDescent="0.2">
      <c r="C1653" s="3"/>
      <c r="E1653" s="3"/>
      <c r="G1653" s="3"/>
      <c r="I1653" s="3"/>
      <c r="K1653" s="3"/>
      <c r="M1653" s="3"/>
      <c r="O1653" s="3"/>
      <c r="Q1653" s="3"/>
      <c r="S1653" s="3"/>
      <c r="U1653" s="3"/>
      <c r="V1653" s="3"/>
      <c r="W1653" s="3"/>
      <c r="X1653" s="3"/>
      <c r="Y1653" s="3"/>
    </row>
    <row r="1654" spans="3:25" x14ac:dyDescent="0.2">
      <c r="C1654" s="3"/>
      <c r="E1654" s="3"/>
      <c r="G1654" s="3"/>
      <c r="I1654" s="3"/>
      <c r="K1654" s="3"/>
      <c r="M1654" s="3"/>
      <c r="O1654" s="3"/>
      <c r="Q1654" s="3"/>
      <c r="S1654" s="3"/>
      <c r="U1654" s="3"/>
      <c r="V1654" s="3"/>
      <c r="W1654" s="3"/>
      <c r="X1654" s="3"/>
      <c r="Y1654" s="3"/>
    </row>
    <row r="1655" spans="3:25" x14ac:dyDescent="0.2">
      <c r="C1655" s="3"/>
      <c r="E1655" s="3"/>
      <c r="G1655" s="3"/>
      <c r="I1655" s="3"/>
      <c r="K1655" s="3"/>
      <c r="M1655" s="3"/>
      <c r="O1655" s="3"/>
      <c r="Q1655" s="3"/>
      <c r="S1655" s="3"/>
      <c r="U1655" s="3"/>
      <c r="V1655" s="3"/>
      <c r="W1655" s="3"/>
      <c r="X1655" s="3"/>
      <c r="Y1655" s="3"/>
    </row>
    <row r="1656" spans="3:25" x14ac:dyDescent="0.2">
      <c r="C1656" s="3"/>
      <c r="E1656" s="3"/>
      <c r="G1656" s="3"/>
      <c r="I1656" s="3"/>
      <c r="K1656" s="3"/>
      <c r="M1656" s="3"/>
      <c r="O1656" s="3"/>
      <c r="Q1656" s="3"/>
      <c r="S1656" s="3"/>
      <c r="U1656" s="3"/>
      <c r="V1656" s="3"/>
      <c r="W1656" s="3"/>
      <c r="X1656" s="3"/>
      <c r="Y1656" s="3"/>
    </row>
    <row r="1657" spans="3:25" x14ac:dyDescent="0.2">
      <c r="C1657" s="3"/>
      <c r="E1657" s="3"/>
      <c r="G1657" s="3"/>
      <c r="I1657" s="3"/>
      <c r="K1657" s="3"/>
      <c r="M1657" s="3"/>
      <c r="O1657" s="3"/>
      <c r="Q1657" s="3"/>
      <c r="S1657" s="3"/>
      <c r="U1657" s="3"/>
      <c r="V1657" s="3"/>
      <c r="W1657" s="3"/>
      <c r="X1657" s="3"/>
      <c r="Y1657" s="3"/>
    </row>
    <row r="1658" spans="3:25" x14ac:dyDescent="0.2">
      <c r="C1658" s="3"/>
      <c r="E1658" s="3"/>
      <c r="G1658" s="3"/>
      <c r="I1658" s="3"/>
      <c r="K1658" s="3"/>
      <c r="M1658" s="3"/>
      <c r="O1658" s="3"/>
      <c r="Q1658" s="3"/>
      <c r="S1658" s="3"/>
      <c r="U1658" s="3"/>
      <c r="V1658" s="3"/>
      <c r="W1658" s="3"/>
      <c r="X1658" s="3"/>
      <c r="Y1658" s="3"/>
    </row>
    <row r="1659" spans="3:25" x14ac:dyDescent="0.2">
      <c r="C1659" s="3"/>
      <c r="E1659" s="3"/>
      <c r="G1659" s="3"/>
      <c r="I1659" s="3"/>
      <c r="K1659" s="3"/>
      <c r="M1659" s="3"/>
      <c r="O1659" s="3"/>
      <c r="Q1659" s="3"/>
      <c r="S1659" s="3"/>
      <c r="U1659" s="3"/>
      <c r="V1659" s="3"/>
      <c r="W1659" s="3"/>
      <c r="X1659" s="3"/>
      <c r="Y1659" s="3"/>
    </row>
    <row r="1660" spans="3:25" x14ac:dyDescent="0.2">
      <c r="C1660" s="3"/>
      <c r="E1660" s="3"/>
      <c r="G1660" s="3"/>
      <c r="I1660" s="3"/>
      <c r="K1660" s="3"/>
      <c r="M1660" s="3"/>
      <c r="O1660" s="3"/>
      <c r="Q1660" s="3"/>
      <c r="S1660" s="3"/>
      <c r="U1660" s="3"/>
      <c r="V1660" s="3"/>
      <c r="W1660" s="3"/>
      <c r="X1660" s="3"/>
      <c r="Y1660" s="3"/>
    </row>
    <row r="1661" spans="3:25" x14ac:dyDescent="0.2">
      <c r="C1661" s="3"/>
      <c r="E1661" s="3"/>
      <c r="G1661" s="3"/>
      <c r="I1661" s="3"/>
      <c r="K1661" s="3"/>
      <c r="M1661" s="3"/>
      <c r="O1661" s="3"/>
      <c r="Q1661" s="3"/>
      <c r="S1661" s="3"/>
      <c r="U1661" s="3"/>
      <c r="V1661" s="3"/>
      <c r="W1661" s="3"/>
      <c r="X1661" s="3"/>
      <c r="Y1661" s="3"/>
    </row>
    <row r="1662" spans="3:25" x14ac:dyDescent="0.2">
      <c r="C1662" s="3"/>
      <c r="E1662" s="3"/>
      <c r="G1662" s="3"/>
      <c r="I1662" s="3"/>
      <c r="K1662" s="3"/>
      <c r="M1662" s="3"/>
      <c r="O1662" s="3"/>
      <c r="Q1662" s="3"/>
      <c r="S1662" s="3"/>
      <c r="U1662" s="3"/>
      <c r="V1662" s="3"/>
      <c r="W1662" s="3"/>
      <c r="X1662" s="3"/>
      <c r="Y1662" s="3"/>
    </row>
    <row r="1663" spans="3:25" x14ac:dyDescent="0.2">
      <c r="C1663" s="3"/>
      <c r="E1663" s="3"/>
      <c r="G1663" s="3"/>
      <c r="I1663" s="3"/>
      <c r="K1663" s="3"/>
      <c r="M1663" s="3"/>
      <c r="O1663" s="3"/>
      <c r="Q1663" s="3"/>
      <c r="S1663" s="3"/>
      <c r="U1663" s="3"/>
      <c r="V1663" s="3"/>
      <c r="W1663" s="3"/>
      <c r="X1663" s="3"/>
      <c r="Y1663" s="3"/>
    </row>
    <row r="1664" spans="3:25" x14ac:dyDescent="0.2">
      <c r="C1664" s="3"/>
      <c r="E1664" s="3"/>
      <c r="G1664" s="3"/>
      <c r="I1664" s="3"/>
      <c r="K1664" s="3"/>
      <c r="M1664" s="3"/>
      <c r="O1664" s="3"/>
      <c r="Q1664" s="3"/>
      <c r="S1664" s="3"/>
      <c r="U1664" s="3"/>
      <c r="V1664" s="3"/>
      <c r="W1664" s="3"/>
      <c r="X1664" s="3"/>
      <c r="Y1664" s="3"/>
    </row>
    <row r="1665" spans="3:25" x14ac:dyDescent="0.2">
      <c r="C1665" s="3"/>
      <c r="E1665" s="3"/>
      <c r="G1665" s="3"/>
      <c r="I1665" s="3"/>
      <c r="K1665" s="3"/>
      <c r="M1665" s="3"/>
      <c r="O1665" s="3"/>
      <c r="Q1665" s="3"/>
      <c r="S1665" s="3"/>
      <c r="U1665" s="3"/>
      <c r="V1665" s="3"/>
      <c r="W1665" s="3"/>
      <c r="X1665" s="3"/>
      <c r="Y1665" s="3"/>
    </row>
    <row r="1666" spans="3:25" x14ac:dyDescent="0.2">
      <c r="C1666" s="3"/>
      <c r="E1666" s="3"/>
      <c r="G1666" s="3"/>
      <c r="I1666" s="3"/>
      <c r="K1666" s="3"/>
      <c r="M1666" s="3"/>
      <c r="O1666" s="3"/>
      <c r="Q1666" s="3"/>
      <c r="S1666" s="3"/>
      <c r="U1666" s="3"/>
      <c r="V1666" s="3"/>
      <c r="W1666" s="3"/>
      <c r="X1666" s="3"/>
      <c r="Y1666" s="3"/>
    </row>
    <row r="1667" spans="3:25" x14ac:dyDescent="0.2">
      <c r="C1667" s="3"/>
      <c r="E1667" s="3"/>
      <c r="G1667" s="3"/>
      <c r="I1667" s="3"/>
      <c r="K1667" s="3"/>
      <c r="M1667" s="3"/>
      <c r="O1667" s="3"/>
      <c r="Q1667" s="3"/>
      <c r="S1667" s="3"/>
      <c r="U1667" s="3"/>
      <c r="V1667" s="3"/>
      <c r="W1667" s="3"/>
      <c r="X1667" s="3"/>
      <c r="Y1667" s="3"/>
    </row>
    <row r="1668" spans="3:25" x14ac:dyDescent="0.2">
      <c r="C1668" s="3"/>
      <c r="E1668" s="3"/>
      <c r="G1668" s="3"/>
      <c r="I1668" s="3"/>
      <c r="K1668" s="3"/>
      <c r="M1668" s="3"/>
      <c r="O1668" s="3"/>
      <c r="Q1668" s="3"/>
      <c r="S1668" s="3"/>
      <c r="U1668" s="3"/>
      <c r="V1668" s="3"/>
      <c r="W1668" s="3"/>
      <c r="X1668" s="3"/>
      <c r="Y1668" s="3"/>
    </row>
    <row r="1669" spans="3:25" x14ac:dyDescent="0.2">
      <c r="C1669" s="3"/>
      <c r="E1669" s="3"/>
      <c r="G1669" s="3"/>
      <c r="I1669" s="3"/>
      <c r="K1669" s="3"/>
      <c r="M1669" s="3"/>
      <c r="O1669" s="3"/>
      <c r="Q1669" s="3"/>
      <c r="S1669" s="3"/>
      <c r="U1669" s="3"/>
      <c r="V1669" s="3"/>
      <c r="W1669" s="3"/>
      <c r="X1669" s="3"/>
      <c r="Y1669" s="3"/>
    </row>
    <row r="1670" spans="3:25" x14ac:dyDescent="0.2">
      <c r="C1670" s="3"/>
      <c r="E1670" s="3"/>
      <c r="G1670" s="3"/>
      <c r="I1670" s="3"/>
      <c r="K1670" s="3"/>
      <c r="M1670" s="3"/>
      <c r="O1670" s="3"/>
      <c r="Q1670" s="3"/>
      <c r="S1670" s="3"/>
      <c r="U1670" s="3"/>
      <c r="V1670" s="3"/>
      <c r="W1670" s="3"/>
      <c r="X1670" s="3"/>
      <c r="Y1670" s="3"/>
    </row>
    <row r="1671" spans="3:25" x14ac:dyDescent="0.2">
      <c r="C1671" s="3"/>
      <c r="E1671" s="3"/>
      <c r="G1671" s="3"/>
      <c r="I1671" s="3"/>
      <c r="K1671" s="3"/>
      <c r="M1671" s="3"/>
      <c r="O1671" s="3"/>
      <c r="Q1671" s="3"/>
      <c r="S1671" s="3"/>
      <c r="U1671" s="3"/>
      <c r="V1671" s="3"/>
      <c r="W1671" s="3"/>
      <c r="X1671" s="3"/>
      <c r="Y1671" s="3"/>
    </row>
    <row r="1672" spans="3:25" x14ac:dyDescent="0.2">
      <c r="C1672" s="3"/>
      <c r="E1672" s="3"/>
      <c r="G1672" s="3"/>
      <c r="I1672" s="3"/>
      <c r="K1672" s="3"/>
      <c r="M1672" s="3"/>
      <c r="O1672" s="3"/>
      <c r="Q1672" s="3"/>
      <c r="S1672" s="3"/>
      <c r="U1672" s="3"/>
      <c r="V1672" s="3"/>
      <c r="W1672" s="3"/>
      <c r="X1672" s="3"/>
      <c r="Y1672" s="3"/>
    </row>
    <row r="1673" spans="3:25" x14ac:dyDescent="0.2">
      <c r="C1673" s="3"/>
      <c r="E1673" s="3"/>
      <c r="G1673" s="3"/>
      <c r="I1673" s="3"/>
      <c r="K1673" s="3"/>
      <c r="M1673" s="3"/>
      <c r="O1673" s="3"/>
      <c r="Q1673" s="3"/>
      <c r="S1673" s="3"/>
      <c r="U1673" s="3"/>
      <c r="V1673" s="3"/>
      <c r="W1673" s="3"/>
      <c r="X1673" s="3"/>
      <c r="Y1673" s="3"/>
    </row>
    <row r="1674" spans="3:25" x14ac:dyDescent="0.2">
      <c r="C1674" s="3"/>
      <c r="E1674" s="3"/>
      <c r="G1674" s="3"/>
      <c r="I1674" s="3"/>
      <c r="K1674" s="3"/>
      <c r="M1674" s="3"/>
      <c r="O1674" s="3"/>
      <c r="Q1674" s="3"/>
      <c r="S1674" s="3"/>
      <c r="U1674" s="3"/>
      <c r="V1674" s="3"/>
      <c r="W1674" s="3"/>
      <c r="X1674" s="3"/>
      <c r="Y1674" s="3"/>
    </row>
    <row r="1675" spans="3:25" x14ac:dyDescent="0.2">
      <c r="C1675" s="3"/>
      <c r="E1675" s="3"/>
      <c r="G1675" s="3"/>
      <c r="I1675" s="3"/>
      <c r="K1675" s="3"/>
      <c r="M1675" s="3"/>
      <c r="O1675" s="3"/>
      <c r="Q1675" s="3"/>
      <c r="S1675" s="3"/>
      <c r="U1675" s="3"/>
      <c r="V1675" s="3"/>
      <c r="W1675" s="3"/>
      <c r="X1675" s="3"/>
      <c r="Y1675" s="3"/>
    </row>
    <row r="1676" spans="3:25" x14ac:dyDescent="0.2">
      <c r="C1676" s="3"/>
      <c r="E1676" s="3"/>
      <c r="G1676" s="3"/>
      <c r="I1676" s="3"/>
      <c r="K1676" s="3"/>
      <c r="M1676" s="3"/>
      <c r="O1676" s="3"/>
      <c r="Q1676" s="3"/>
      <c r="S1676" s="3"/>
      <c r="U1676" s="3"/>
      <c r="V1676" s="3"/>
      <c r="W1676" s="3"/>
      <c r="X1676" s="3"/>
      <c r="Y1676" s="3"/>
    </row>
    <row r="1677" spans="3:25" x14ac:dyDescent="0.2">
      <c r="C1677" s="3"/>
      <c r="E1677" s="3"/>
      <c r="G1677" s="3"/>
      <c r="I1677" s="3"/>
      <c r="K1677" s="3"/>
      <c r="M1677" s="3"/>
      <c r="O1677" s="3"/>
      <c r="Q1677" s="3"/>
      <c r="S1677" s="3"/>
      <c r="U1677" s="3"/>
      <c r="V1677" s="3"/>
      <c r="W1677" s="3"/>
      <c r="X1677" s="3"/>
      <c r="Y1677" s="3"/>
    </row>
    <row r="1678" spans="3:25" x14ac:dyDescent="0.2">
      <c r="C1678" s="3"/>
      <c r="E1678" s="3"/>
      <c r="G1678" s="3"/>
      <c r="I1678" s="3"/>
      <c r="K1678" s="3"/>
      <c r="M1678" s="3"/>
      <c r="O1678" s="3"/>
      <c r="Q1678" s="3"/>
      <c r="S1678" s="3"/>
      <c r="U1678" s="3"/>
      <c r="V1678" s="3"/>
      <c r="W1678" s="3"/>
      <c r="X1678" s="3"/>
      <c r="Y1678" s="3"/>
    </row>
    <row r="1679" spans="3:25" x14ac:dyDescent="0.2">
      <c r="C1679" s="3"/>
      <c r="E1679" s="3"/>
      <c r="G1679" s="3"/>
      <c r="I1679" s="3"/>
      <c r="K1679" s="3"/>
      <c r="M1679" s="3"/>
      <c r="O1679" s="3"/>
      <c r="Q1679" s="3"/>
      <c r="S1679" s="3"/>
      <c r="U1679" s="3"/>
      <c r="V1679" s="3"/>
      <c r="W1679" s="3"/>
      <c r="X1679" s="3"/>
      <c r="Y1679" s="3"/>
    </row>
    <row r="1680" spans="3:25" x14ac:dyDescent="0.2">
      <c r="C1680" s="3"/>
      <c r="E1680" s="3"/>
      <c r="G1680" s="3"/>
      <c r="I1680" s="3"/>
      <c r="K1680" s="3"/>
      <c r="M1680" s="3"/>
      <c r="O1680" s="3"/>
      <c r="Q1680" s="3"/>
      <c r="S1680" s="3"/>
      <c r="U1680" s="3"/>
      <c r="V1680" s="3"/>
      <c r="W1680" s="3"/>
      <c r="X1680" s="3"/>
      <c r="Y1680" s="3"/>
    </row>
    <row r="1681" spans="3:25" x14ac:dyDescent="0.2">
      <c r="C1681" s="3"/>
      <c r="E1681" s="3"/>
      <c r="G1681" s="3"/>
      <c r="I1681" s="3"/>
      <c r="K1681" s="3"/>
      <c r="M1681" s="3"/>
      <c r="O1681" s="3"/>
      <c r="Q1681" s="3"/>
      <c r="S1681" s="3"/>
      <c r="U1681" s="3"/>
      <c r="V1681" s="3"/>
      <c r="W1681" s="3"/>
      <c r="X1681" s="3"/>
      <c r="Y1681" s="3"/>
    </row>
    <row r="1682" spans="3:25" x14ac:dyDescent="0.2">
      <c r="C1682" s="3"/>
      <c r="E1682" s="3"/>
      <c r="G1682" s="3"/>
      <c r="I1682" s="3"/>
      <c r="K1682" s="3"/>
      <c r="M1682" s="3"/>
      <c r="O1682" s="3"/>
      <c r="Q1682" s="3"/>
      <c r="S1682" s="3"/>
      <c r="U1682" s="3"/>
      <c r="V1682" s="3"/>
      <c r="W1682" s="3"/>
      <c r="X1682" s="3"/>
      <c r="Y1682" s="3"/>
    </row>
    <row r="1683" spans="3:25" x14ac:dyDescent="0.2">
      <c r="C1683" s="3"/>
      <c r="E1683" s="3"/>
      <c r="G1683" s="3"/>
      <c r="I1683" s="3"/>
      <c r="K1683" s="3"/>
      <c r="M1683" s="3"/>
      <c r="O1683" s="3"/>
      <c r="Q1683" s="3"/>
      <c r="S1683" s="3"/>
      <c r="U1683" s="3"/>
      <c r="V1683" s="3"/>
      <c r="W1683" s="3"/>
      <c r="X1683" s="3"/>
      <c r="Y1683" s="3"/>
    </row>
    <row r="1684" spans="3:25" x14ac:dyDescent="0.2">
      <c r="C1684" s="3"/>
      <c r="E1684" s="3"/>
      <c r="G1684" s="3"/>
      <c r="I1684" s="3"/>
      <c r="K1684" s="3"/>
      <c r="M1684" s="3"/>
      <c r="O1684" s="3"/>
      <c r="Q1684" s="3"/>
      <c r="S1684" s="3"/>
      <c r="U1684" s="3"/>
      <c r="V1684" s="3"/>
      <c r="W1684" s="3"/>
      <c r="X1684" s="3"/>
      <c r="Y1684" s="3"/>
    </row>
    <row r="1685" spans="3:25" x14ac:dyDescent="0.2">
      <c r="C1685" s="3"/>
      <c r="E1685" s="3"/>
      <c r="G1685" s="3"/>
      <c r="I1685" s="3"/>
      <c r="K1685" s="3"/>
      <c r="M1685" s="3"/>
      <c r="O1685" s="3"/>
      <c r="Q1685" s="3"/>
      <c r="S1685" s="3"/>
      <c r="U1685" s="3"/>
      <c r="V1685" s="3"/>
      <c r="W1685" s="3"/>
      <c r="X1685" s="3"/>
      <c r="Y1685" s="3"/>
    </row>
    <row r="1686" spans="3:25" x14ac:dyDescent="0.2">
      <c r="C1686" s="3"/>
      <c r="E1686" s="3"/>
      <c r="G1686" s="3"/>
      <c r="I1686" s="3"/>
      <c r="K1686" s="3"/>
      <c r="M1686" s="3"/>
      <c r="O1686" s="3"/>
      <c r="Q1686" s="3"/>
      <c r="S1686" s="3"/>
      <c r="U1686" s="3"/>
      <c r="V1686" s="3"/>
      <c r="W1686" s="3"/>
      <c r="X1686" s="3"/>
      <c r="Y1686" s="3"/>
    </row>
    <row r="1687" spans="3:25" x14ac:dyDescent="0.2">
      <c r="C1687" s="3"/>
      <c r="E1687" s="3"/>
      <c r="G1687" s="3"/>
      <c r="I1687" s="3"/>
      <c r="K1687" s="3"/>
      <c r="M1687" s="3"/>
      <c r="O1687" s="3"/>
      <c r="Q1687" s="3"/>
      <c r="S1687" s="3"/>
      <c r="U1687" s="3"/>
      <c r="V1687" s="3"/>
      <c r="W1687" s="3"/>
      <c r="X1687" s="3"/>
      <c r="Y1687" s="3"/>
    </row>
    <row r="1688" spans="3:25" x14ac:dyDescent="0.2">
      <c r="C1688" s="3"/>
      <c r="E1688" s="3"/>
      <c r="G1688" s="3"/>
      <c r="I1688" s="3"/>
      <c r="K1688" s="3"/>
      <c r="M1688" s="3"/>
      <c r="O1688" s="3"/>
      <c r="Q1688" s="3"/>
      <c r="S1688" s="3"/>
      <c r="U1688" s="3"/>
      <c r="V1688" s="3"/>
      <c r="W1688" s="3"/>
      <c r="X1688" s="3"/>
      <c r="Y1688" s="3"/>
    </row>
    <row r="1689" spans="3:25" x14ac:dyDescent="0.2">
      <c r="C1689" s="3"/>
      <c r="E1689" s="3"/>
      <c r="G1689" s="3"/>
      <c r="I1689" s="3"/>
      <c r="K1689" s="3"/>
      <c r="M1689" s="3"/>
      <c r="O1689" s="3"/>
      <c r="Q1689" s="3"/>
      <c r="S1689" s="3"/>
      <c r="U1689" s="3"/>
      <c r="V1689" s="3"/>
      <c r="W1689" s="3"/>
      <c r="X1689" s="3"/>
      <c r="Y1689" s="3"/>
    </row>
    <row r="1690" spans="3:25" x14ac:dyDescent="0.2">
      <c r="C1690" s="3"/>
      <c r="E1690" s="3"/>
      <c r="G1690" s="3"/>
      <c r="I1690" s="3"/>
      <c r="K1690" s="3"/>
      <c r="M1690" s="3"/>
      <c r="O1690" s="3"/>
      <c r="Q1690" s="3"/>
      <c r="S1690" s="3"/>
      <c r="U1690" s="3"/>
      <c r="V1690" s="3"/>
      <c r="W1690" s="3"/>
      <c r="X1690" s="3"/>
      <c r="Y1690" s="3"/>
    </row>
    <row r="1691" spans="3:25" x14ac:dyDescent="0.2">
      <c r="C1691" s="3"/>
      <c r="E1691" s="3"/>
      <c r="G1691" s="3"/>
      <c r="I1691" s="3"/>
      <c r="K1691" s="3"/>
      <c r="M1691" s="3"/>
      <c r="O1691" s="3"/>
      <c r="Q1691" s="3"/>
      <c r="S1691" s="3"/>
      <c r="U1691" s="3"/>
      <c r="V1691" s="3"/>
      <c r="W1691" s="3"/>
      <c r="X1691" s="3"/>
      <c r="Y1691" s="3"/>
    </row>
    <row r="1692" spans="3:25" x14ac:dyDescent="0.2">
      <c r="C1692" s="3"/>
      <c r="E1692" s="3"/>
      <c r="G1692" s="3"/>
      <c r="I1692" s="3"/>
      <c r="K1692" s="3"/>
      <c r="M1692" s="3"/>
      <c r="O1692" s="3"/>
      <c r="Q1692" s="3"/>
      <c r="S1692" s="3"/>
      <c r="U1692" s="3"/>
      <c r="V1692" s="3"/>
      <c r="W1692" s="3"/>
      <c r="X1692" s="3"/>
      <c r="Y1692" s="3"/>
    </row>
    <row r="1693" spans="3:25" x14ac:dyDescent="0.2">
      <c r="C1693" s="3"/>
      <c r="E1693" s="3"/>
      <c r="G1693" s="3"/>
      <c r="I1693" s="3"/>
      <c r="K1693" s="3"/>
      <c r="M1693" s="3"/>
      <c r="O1693" s="3"/>
      <c r="Q1693" s="3"/>
      <c r="S1693" s="3"/>
      <c r="U1693" s="3"/>
      <c r="V1693" s="3"/>
      <c r="W1693" s="3"/>
      <c r="X1693" s="3"/>
      <c r="Y1693" s="3"/>
    </row>
    <row r="1694" spans="3:25" x14ac:dyDescent="0.2">
      <c r="C1694" s="3"/>
      <c r="E1694" s="3"/>
      <c r="G1694" s="3"/>
      <c r="I1694" s="3"/>
      <c r="K1694" s="3"/>
      <c r="M1694" s="3"/>
      <c r="O1694" s="3"/>
      <c r="Q1694" s="3"/>
      <c r="S1694" s="3"/>
      <c r="U1694" s="3"/>
      <c r="V1694" s="3"/>
      <c r="W1694" s="3"/>
      <c r="X1694" s="3"/>
      <c r="Y1694" s="3"/>
    </row>
    <row r="1695" spans="3:25" x14ac:dyDescent="0.2">
      <c r="C1695" s="3"/>
      <c r="E1695" s="3"/>
      <c r="G1695" s="3"/>
      <c r="I1695" s="3"/>
      <c r="K1695" s="3"/>
      <c r="M1695" s="3"/>
      <c r="O1695" s="3"/>
      <c r="Q1695" s="3"/>
      <c r="S1695" s="3"/>
      <c r="U1695" s="3"/>
      <c r="V1695" s="3"/>
      <c r="W1695" s="3"/>
      <c r="X1695" s="3"/>
      <c r="Y1695" s="3"/>
    </row>
    <row r="1696" spans="3:25" x14ac:dyDescent="0.2">
      <c r="C1696" s="3"/>
      <c r="E1696" s="3"/>
      <c r="G1696" s="3"/>
      <c r="I1696" s="3"/>
      <c r="K1696" s="3"/>
      <c r="M1696" s="3"/>
      <c r="O1696" s="3"/>
      <c r="Q1696" s="3"/>
      <c r="S1696" s="3"/>
      <c r="U1696" s="3"/>
      <c r="V1696" s="3"/>
      <c r="W1696" s="3"/>
      <c r="X1696" s="3"/>
      <c r="Y1696" s="3"/>
    </row>
    <row r="1697" spans="3:25" x14ac:dyDescent="0.2">
      <c r="C1697" s="3"/>
      <c r="E1697" s="3"/>
      <c r="G1697" s="3"/>
      <c r="I1697" s="3"/>
      <c r="K1697" s="3"/>
      <c r="M1697" s="3"/>
      <c r="O1697" s="3"/>
      <c r="Q1697" s="3"/>
      <c r="S1697" s="3"/>
      <c r="U1697" s="3"/>
      <c r="V1697" s="3"/>
      <c r="W1697" s="3"/>
      <c r="X1697" s="3"/>
      <c r="Y1697" s="3"/>
    </row>
    <row r="1698" spans="3:25" x14ac:dyDescent="0.2">
      <c r="C1698" s="3"/>
      <c r="E1698" s="3"/>
      <c r="G1698" s="3"/>
      <c r="I1698" s="3"/>
      <c r="K1698" s="3"/>
      <c r="M1698" s="3"/>
      <c r="O1698" s="3"/>
      <c r="Q1698" s="3"/>
      <c r="S1698" s="3"/>
      <c r="U1698" s="3"/>
      <c r="V1698" s="3"/>
      <c r="W1698" s="3"/>
      <c r="X1698" s="3"/>
      <c r="Y1698" s="3"/>
    </row>
    <row r="1699" spans="3:25" x14ac:dyDescent="0.2">
      <c r="C1699" s="3"/>
      <c r="E1699" s="3"/>
      <c r="G1699" s="3"/>
      <c r="I1699" s="3"/>
      <c r="K1699" s="3"/>
      <c r="M1699" s="3"/>
      <c r="O1699" s="3"/>
      <c r="Q1699" s="3"/>
      <c r="S1699" s="3"/>
      <c r="U1699" s="3"/>
      <c r="V1699" s="3"/>
      <c r="W1699" s="3"/>
      <c r="X1699" s="3"/>
      <c r="Y1699" s="3"/>
    </row>
    <row r="1700" spans="3:25" x14ac:dyDescent="0.2">
      <c r="C1700" s="3"/>
      <c r="E1700" s="3"/>
      <c r="G1700" s="3"/>
      <c r="I1700" s="3"/>
      <c r="K1700" s="3"/>
      <c r="M1700" s="3"/>
      <c r="O1700" s="3"/>
      <c r="Q1700" s="3"/>
      <c r="S1700" s="3"/>
      <c r="U1700" s="3"/>
      <c r="V1700" s="3"/>
      <c r="W1700" s="3"/>
      <c r="X1700" s="3"/>
      <c r="Y1700" s="3"/>
    </row>
    <row r="1701" spans="3:25" x14ac:dyDescent="0.2">
      <c r="C1701" s="3"/>
      <c r="E1701" s="3"/>
      <c r="G1701" s="3"/>
      <c r="I1701" s="3"/>
      <c r="K1701" s="3"/>
      <c r="M1701" s="3"/>
      <c r="O1701" s="3"/>
      <c r="Q1701" s="3"/>
      <c r="S1701" s="3"/>
      <c r="U1701" s="3"/>
      <c r="V1701" s="3"/>
      <c r="W1701" s="3"/>
      <c r="X1701" s="3"/>
      <c r="Y1701" s="3"/>
    </row>
    <row r="1702" spans="3:25" x14ac:dyDescent="0.2">
      <c r="C1702" s="3"/>
      <c r="E1702" s="3"/>
      <c r="G1702" s="3"/>
      <c r="I1702" s="3"/>
      <c r="K1702" s="3"/>
      <c r="M1702" s="3"/>
      <c r="O1702" s="3"/>
      <c r="Q1702" s="3"/>
      <c r="S1702" s="3"/>
      <c r="U1702" s="3"/>
      <c r="V1702" s="3"/>
      <c r="W1702" s="3"/>
      <c r="X1702" s="3"/>
      <c r="Y1702" s="3"/>
    </row>
    <row r="1703" spans="3:25" x14ac:dyDescent="0.2">
      <c r="C1703" s="3"/>
      <c r="E1703" s="3"/>
      <c r="G1703" s="3"/>
      <c r="I1703" s="3"/>
      <c r="K1703" s="3"/>
      <c r="M1703" s="3"/>
      <c r="O1703" s="3"/>
      <c r="Q1703" s="3"/>
      <c r="S1703" s="3"/>
      <c r="U1703" s="3"/>
      <c r="V1703" s="3"/>
      <c r="W1703" s="3"/>
      <c r="X1703" s="3"/>
      <c r="Y1703" s="3"/>
    </row>
    <row r="1704" spans="3:25" x14ac:dyDescent="0.2">
      <c r="C1704" s="3"/>
      <c r="E1704" s="3"/>
      <c r="G1704" s="3"/>
      <c r="I1704" s="3"/>
      <c r="K1704" s="3"/>
      <c r="M1704" s="3"/>
      <c r="O1704" s="3"/>
      <c r="Q1704" s="3"/>
      <c r="S1704" s="3"/>
      <c r="U1704" s="3"/>
      <c r="V1704" s="3"/>
      <c r="W1704" s="3"/>
      <c r="X1704" s="3"/>
      <c r="Y1704" s="3"/>
    </row>
    <row r="1705" spans="3:25" x14ac:dyDescent="0.2">
      <c r="C1705" s="3"/>
      <c r="E1705" s="3"/>
      <c r="G1705" s="3"/>
      <c r="I1705" s="3"/>
      <c r="K1705" s="3"/>
      <c r="M1705" s="3"/>
      <c r="O1705" s="3"/>
      <c r="Q1705" s="3"/>
      <c r="S1705" s="3"/>
      <c r="U1705" s="3"/>
      <c r="V1705" s="3"/>
      <c r="W1705" s="3"/>
      <c r="X1705" s="3"/>
      <c r="Y1705" s="3"/>
    </row>
    <row r="1706" spans="3:25" x14ac:dyDescent="0.2">
      <c r="C1706" s="3"/>
      <c r="E1706" s="3"/>
      <c r="G1706" s="3"/>
      <c r="I1706" s="3"/>
      <c r="K1706" s="3"/>
      <c r="M1706" s="3"/>
      <c r="O1706" s="3"/>
      <c r="Q1706" s="3"/>
      <c r="S1706" s="3"/>
      <c r="U1706" s="3"/>
      <c r="V1706" s="3"/>
      <c r="W1706" s="3"/>
      <c r="X1706" s="3"/>
      <c r="Y1706" s="3"/>
    </row>
    <row r="1707" spans="3:25" x14ac:dyDescent="0.2">
      <c r="C1707" s="3"/>
      <c r="E1707" s="3"/>
      <c r="G1707" s="3"/>
      <c r="I1707" s="3"/>
      <c r="K1707" s="3"/>
      <c r="M1707" s="3"/>
      <c r="O1707" s="3"/>
      <c r="Q1707" s="3"/>
      <c r="S1707" s="3"/>
      <c r="U1707" s="3"/>
      <c r="V1707" s="3"/>
      <c r="W1707" s="3"/>
      <c r="X1707" s="3"/>
      <c r="Y1707" s="3"/>
    </row>
    <row r="1708" spans="3:25" x14ac:dyDescent="0.2">
      <c r="C1708" s="3"/>
      <c r="E1708" s="3"/>
      <c r="G1708" s="3"/>
      <c r="I1708" s="3"/>
      <c r="K1708" s="3"/>
      <c r="M1708" s="3"/>
      <c r="O1708" s="3"/>
      <c r="Q1708" s="3"/>
      <c r="S1708" s="3"/>
      <c r="U1708" s="3"/>
      <c r="V1708" s="3"/>
      <c r="W1708" s="3"/>
      <c r="X1708" s="3"/>
      <c r="Y1708" s="3"/>
    </row>
    <row r="1709" spans="3:25" x14ac:dyDescent="0.2">
      <c r="C1709" s="3"/>
      <c r="E1709" s="3"/>
      <c r="G1709" s="3"/>
      <c r="I1709" s="3"/>
      <c r="K1709" s="3"/>
      <c r="M1709" s="3"/>
      <c r="O1709" s="3"/>
      <c r="Q1709" s="3"/>
      <c r="S1709" s="3"/>
      <c r="U1709" s="3"/>
      <c r="V1709" s="3"/>
      <c r="W1709" s="3"/>
      <c r="X1709" s="3"/>
      <c r="Y1709" s="3"/>
    </row>
    <row r="1710" spans="3:25" x14ac:dyDescent="0.2">
      <c r="C1710" s="3"/>
      <c r="E1710" s="3"/>
      <c r="G1710" s="3"/>
      <c r="I1710" s="3"/>
      <c r="K1710" s="3"/>
      <c r="M1710" s="3"/>
      <c r="O1710" s="3"/>
      <c r="Q1710" s="3"/>
      <c r="S1710" s="3"/>
      <c r="U1710" s="3"/>
      <c r="V1710" s="3"/>
      <c r="W1710" s="3"/>
      <c r="X1710" s="3"/>
      <c r="Y1710" s="3"/>
    </row>
    <row r="1711" spans="3:25" x14ac:dyDescent="0.2">
      <c r="C1711" s="3"/>
      <c r="E1711" s="3"/>
      <c r="G1711" s="3"/>
      <c r="I1711" s="3"/>
      <c r="K1711" s="3"/>
      <c r="M1711" s="3"/>
      <c r="O1711" s="3"/>
      <c r="Q1711" s="3"/>
      <c r="S1711" s="3"/>
      <c r="U1711" s="3"/>
      <c r="V1711" s="3"/>
      <c r="W1711" s="3"/>
      <c r="X1711" s="3"/>
      <c r="Y1711" s="3"/>
    </row>
    <row r="1712" spans="3:25" x14ac:dyDescent="0.2">
      <c r="C1712" s="3"/>
      <c r="E1712" s="3"/>
      <c r="G1712" s="3"/>
      <c r="I1712" s="3"/>
      <c r="K1712" s="3"/>
      <c r="M1712" s="3"/>
      <c r="O1712" s="3"/>
      <c r="Q1712" s="3"/>
      <c r="S1712" s="3"/>
      <c r="U1712" s="3"/>
      <c r="V1712" s="3"/>
      <c r="W1712" s="3"/>
      <c r="X1712" s="3"/>
      <c r="Y1712" s="3"/>
    </row>
    <row r="1713" spans="3:25" x14ac:dyDescent="0.2">
      <c r="C1713" s="3"/>
      <c r="E1713" s="3"/>
      <c r="G1713" s="3"/>
      <c r="I1713" s="3"/>
      <c r="K1713" s="3"/>
      <c r="M1713" s="3"/>
      <c r="O1713" s="3"/>
      <c r="Q1713" s="3"/>
      <c r="S1713" s="3"/>
      <c r="U1713" s="3"/>
      <c r="V1713" s="3"/>
      <c r="W1713" s="3"/>
      <c r="X1713" s="3"/>
      <c r="Y1713" s="3"/>
    </row>
    <row r="1714" spans="3:25" x14ac:dyDescent="0.2">
      <c r="C1714" s="3"/>
      <c r="E1714" s="3"/>
      <c r="G1714" s="3"/>
      <c r="I1714" s="3"/>
      <c r="K1714" s="3"/>
      <c r="M1714" s="3"/>
      <c r="O1714" s="3"/>
      <c r="Q1714" s="3"/>
      <c r="S1714" s="3"/>
      <c r="U1714" s="3"/>
      <c r="V1714" s="3"/>
      <c r="W1714" s="3"/>
      <c r="X1714" s="3"/>
      <c r="Y1714" s="3"/>
    </row>
    <row r="1715" spans="3:25" x14ac:dyDescent="0.2">
      <c r="C1715" s="3"/>
      <c r="E1715" s="3"/>
      <c r="G1715" s="3"/>
      <c r="I1715" s="3"/>
      <c r="K1715" s="3"/>
      <c r="M1715" s="3"/>
      <c r="O1715" s="3"/>
      <c r="Q1715" s="3"/>
      <c r="S1715" s="3"/>
      <c r="U1715" s="3"/>
      <c r="V1715" s="3"/>
      <c r="W1715" s="3"/>
      <c r="X1715" s="3"/>
      <c r="Y1715" s="3"/>
    </row>
    <row r="1716" spans="3:25" x14ac:dyDescent="0.2">
      <c r="C1716" s="3"/>
      <c r="E1716" s="3"/>
      <c r="G1716" s="3"/>
      <c r="I1716" s="3"/>
      <c r="K1716" s="3"/>
      <c r="M1716" s="3"/>
      <c r="O1716" s="3"/>
      <c r="Q1716" s="3"/>
      <c r="S1716" s="3"/>
      <c r="U1716" s="3"/>
      <c r="V1716" s="3"/>
      <c r="W1716" s="3"/>
      <c r="X1716" s="3"/>
      <c r="Y1716" s="3"/>
    </row>
    <row r="1717" spans="3:25" x14ac:dyDescent="0.2">
      <c r="C1717" s="3"/>
      <c r="E1717" s="3"/>
      <c r="G1717" s="3"/>
      <c r="I1717" s="3"/>
      <c r="K1717" s="3"/>
      <c r="M1717" s="3"/>
      <c r="O1717" s="3"/>
      <c r="Q1717" s="3"/>
      <c r="S1717" s="3"/>
      <c r="U1717" s="3"/>
      <c r="V1717" s="3"/>
      <c r="W1717" s="3"/>
      <c r="X1717" s="3"/>
      <c r="Y1717" s="3"/>
    </row>
    <row r="1718" spans="3:25" x14ac:dyDescent="0.2">
      <c r="C1718" s="3"/>
      <c r="E1718" s="3"/>
      <c r="G1718" s="3"/>
      <c r="I1718" s="3"/>
      <c r="K1718" s="3"/>
      <c r="M1718" s="3"/>
      <c r="O1718" s="3"/>
      <c r="Q1718" s="3"/>
      <c r="S1718" s="3"/>
      <c r="U1718" s="3"/>
      <c r="V1718" s="3"/>
      <c r="W1718" s="3"/>
      <c r="X1718" s="3"/>
      <c r="Y1718" s="3"/>
    </row>
    <row r="1719" spans="3:25" x14ac:dyDescent="0.2">
      <c r="C1719" s="3"/>
      <c r="E1719" s="3"/>
      <c r="G1719" s="3"/>
      <c r="I1719" s="3"/>
      <c r="K1719" s="3"/>
      <c r="M1719" s="3"/>
      <c r="O1719" s="3"/>
      <c r="Q1719" s="3"/>
      <c r="S1719" s="3"/>
      <c r="U1719" s="3"/>
      <c r="V1719" s="3"/>
      <c r="W1719" s="3"/>
      <c r="X1719" s="3"/>
      <c r="Y1719" s="3"/>
    </row>
    <row r="1720" spans="3:25" x14ac:dyDescent="0.2">
      <c r="C1720" s="3"/>
      <c r="E1720" s="3"/>
      <c r="G1720" s="3"/>
      <c r="I1720" s="3"/>
      <c r="K1720" s="3"/>
      <c r="M1720" s="3"/>
      <c r="O1720" s="3"/>
      <c r="Q1720" s="3"/>
      <c r="S1720" s="3"/>
      <c r="U1720" s="3"/>
      <c r="V1720" s="3"/>
      <c r="W1720" s="3"/>
      <c r="X1720" s="3"/>
      <c r="Y1720" s="3"/>
    </row>
    <row r="1721" spans="3:25" x14ac:dyDescent="0.2">
      <c r="C1721" s="3"/>
      <c r="E1721" s="3"/>
      <c r="G1721" s="3"/>
      <c r="I1721" s="3"/>
      <c r="K1721" s="3"/>
      <c r="M1721" s="3"/>
      <c r="O1721" s="3"/>
      <c r="Q1721" s="3"/>
      <c r="S1721" s="3"/>
      <c r="U1721" s="3"/>
      <c r="V1721" s="3"/>
      <c r="W1721" s="3"/>
      <c r="X1721" s="3"/>
      <c r="Y1721" s="3"/>
    </row>
    <row r="1722" spans="3:25" x14ac:dyDescent="0.2">
      <c r="C1722" s="3"/>
      <c r="E1722" s="3"/>
      <c r="G1722" s="3"/>
      <c r="I1722" s="3"/>
      <c r="K1722" s="3"/>
      <c r="M1722" s="3"/>
      <c r="O1722" s="3"/>
      <c r="Q1722" s="3"/>
      <c r="S1722" s="3"/>
      <c r="U1722" s="3"/>
      <c r="V1722" s="3"/>
      <c r="W1722" s="3"/>
      <c r="X1722" s="3"/>
      <c r="Y1722" s="3"/>
    </row>
    <row r="1723" spans="3:25" x14ac:dyDescent="0.2">
      <c r="C1723" s="3"/>
      <c r="E1723" s="3"/>
      <c r="G1723" s="3"/>
      <c r="I1723" s="3"/>
      <c r="K1723" s="3"/>
      <c r="M1723" s="3"/>
      <c r="O1723" s="3"/>
      <c r="Q1723" s="3"/>
      <c r="S1723" s="3"/>
      <c r="U1723" s="3"/>
      <c r="V1723" s="3"/>
      <c r="W1723" s="3"/>
      <c r="X1723" s="3"/>
      <c r="Y1723" s="3"/>
    </row>
    <row r="1724" spans="3:25" x14ac:dyDescent="0.2">
      <c r="C1724" s="3"/>
      <c r="E1724" s="3"/>
      <c r="G1724" s="3"/>
      <c r="I1724" s="3"/>
      <c r="K1724" s="3"/>
      <c r="M1724" s="3"/>
      <c r="O1724" s="3"/>
      <c r="Q1724" s="3"/>
      <c r="S1724" s="3"/>
      <c r="U1724" s="3"/>
      <c r="V1724" s="3"/>
      <c r="W1724" s="3"/>
      <c r="X1724" s="3"/>
      <c r="Y1724" s="3"/>
    </row>
    <row r="1725" spans="3:25" x14ac:dyDescent="0.2">
      <c r="C1725" s="3"/>
      <c r="E1725" s="3"/>
      <c r="G1725" s="3"/>
      <c r="I1725" s="3"/>
      <c r="K1725" s="3"/>
      <c r="M1725" s="3"/>
      <c r="O1725" s="3"/>
      <c r="Q1725" s="3"/>
      <c r="S1725" s="3"/>
      <c r="U1725" s="3"/>
      <c r="V1725" s="3"/>
      <c r="W1725" s="3"/>
      <c r="X1725" s="3"/>
      <c r="Y1725" s="3"/>
    </row>
    <row r="1726" spans="3:25" x14ac:dyDescent="0.2">
      <c r="C1726" s="3"/>
      <c r="E1726" s="3"/>
      <c r="G1726" s="3"/>
      <c r="I1726" s="3"/>
      <c r="K1726" s="3"/>
      <c r="M1726" s="3"/>
      <c r="O1726" s="3"/>
      <c r="Q1726" s="3"/>
      <c r="S1726" s="3"/>
      <c r="U1726" s="3"/>
      <c r="V1726" s="3"/>
      <c r="W1726" s="3"/>
      <c r="X1726" s="3"/>
      <c r="Y1726" s="3"/>
    </row>
    <row r="1727" spans="3:25" x14ac:dyDescent="0.2">
      <c r="C1727" s="3"/>
      <c r="E1727" s="3"/>
      <c r="G1727" s="3"/>
      <c r="I1727" s="3"/>
      <c r="K1727" s="3"/>
      <c r="M1727" s="3"/>
      <c r="O1727" s="3"/>
      <c r="Q1727" s="3"/>
      <c r="S1727" s="3"/>
      <c r="U1727" s="3"/>
      <c r="V1727" s="3"/>
      <c r="W1727" s="3"/>
      <c r="X1727" s="3"/>
      <c r="Y1727" s="3"/>
    </row>
    <row r="1728" spans="3:25" x14ac:dyDescent="0.2">
      <c r="C1728" s="3"/>
      <c r="E1728" s="3"/>
      <c r="G1728" s="3"/>
      <c r="I1728" s="3"/>
      <c r="K1728" s="3"/>
      <c r="M1728" s="3"/>
      <c r="O1728" s="3"/>
      <c r="Q1728" s="3"/>
      <c r="S1728" s="3"/>
      <c r="U1728" s="3"/>
      <c r="V1728" s="3"/>
      <c r="W1728" s="3"/>
      <c r="X1728" s="3"/>
      <c r="Y1728" s="3"/>
    </row>
    <row r="1729" spans="3:25" x14ac:dyDescent="0.2">
      <c r="C1729" s="3"/>
      <c r="E1729" s="3"/>
      <c r="G1729" s="3"/>
      <c r="I1729" s="3"/>
      <c r="K1729" s="3"/>
      <c r="M1729" s="3"/>
      <c r="O1729" s="3"/>
      <c r="Q1729" s="3"/>
      <c r="S1729" s="3"/>
      <c r="U1729" s="3"/>
      <c r="V1729" s="3"/>
      <c r="W1729" s="3"/>
      <c r="X1729" s="3"/>
      <c r="Y1729" s="3"/>
    </row>
    <row r="1730" spans="3:25" x14ac:dyDescent="0.2">
      <c r="C1730" s="3"/>
      <c r="E1730" s="3"/>
      <c r="G1730" s="3"/>
      <c r="I1730" s="3"/>
      <c r="K1730" s="3"/>
      <c r="M1730" s="3"/>
      <c r="O1730" s="3"/>
      <c r="Q1730" s="3"/>
      <c r="S1730" s="3"/>
      <c r="U1730" s="3"/>
      <c r="V1730" s="3"/>
      <c r="W1730" s="3"/>
      <c r="X1730" s="3"/>
      <c r="Y1730" s="3"/>
    </row>
    <row r="1731" spans="3:25" x14ac:dyDescent="0.2">
      <c r="C1731" s="3"/>
      <c r="E1731" s="3"/>
      <c r="G1731" s="3"/>
      <c r="I1731" s="3"/>
      <c r="K1731" s="3"/>
      <c r="M1731" s="3"/>
      <c r="O1731" s="3"/>
      <c r="Q1731" s="3"/>
      <c r="S1731" s="3"/>
      <c r="U1731" s="3"/>
      <c r="V1731" s="3"/>
      <c r="W1731" s="3"/>
      <c r="X1731" s="3"/>
      <c r="Y1731" s="3"/>
    </row>
    <row r="1732" spans="3:25" x14ac:dyDescent="0.2">
      <c r="C1732" s="3"/>
      <c r="E1732" s="3"/>
      <c r="G1732" s="3"/>
      <c r="I1732" s="3"/>
      <c r="K1732" s="3"/>
      <c r="M1732" s="3"/>
      <c r="O1732" s="3"/>
      <c r="Q1732" s="3"/>
      <c r="S1732" s="3"/>
      <c r="U1732" s="3"/>
      <c r="V1732" s="3"/>
      <c r="W1732" s="3"/>
      <c r="X1732" s="3"/>
      <c r="Y1732" s="3"/>
    </row>
    <row r="1733" spans="3:25" x14ac:dyDescent="0.2">
      <c r="C1733" s="3"/>
      <c r="E1733" s="3"/>
      <c r="G1733" s="3"/>
      <c r="I1733" s="3"/>
      <c r="K1733" s="3"/>
      <c r="M1733" s="3"/>
      <c r="O1733" s="3"/>
      <c r="Q1733" s="3"/>
      <c r="S1733" s="3"/>
      <c r="U1733" s="3"/>
      <c r="V1733" s="3"/>
      <c r="W1733" s="3"/>
      <c r="X1733" s="3"/>
      <c r="Y1733" s="3"/>
    </row>
    <row r="1734" spans="3:25" x14ac:dyDescent="0.2">
      <c r="C1734" s="3"/>
      <c r="E1734" s="3"/>
      <c r="G1734" s="3"/>
      <c r="I1734" s="3"/>
      <c r="K1734" s="3"/>
      <c r="M1734" s="3"/>
      <c r="O1734" s="3"/>
      <c r="Q1734" s="3"/>
      <c r="S1734" s="3"/>
      <c r="U1734" s="3"/>
      <c r="V1734" s="3"/>
      <c r="W1734" s="3"/>
      <c r="X1734" s="3"/>
      <c r="Y1734" s="3"/>
    </row>
    <row r="1735" spans="3:25" x14ac:dyDescent="0.2">
      <c r="C1735" s="3"/>
      <c r="E1735" s="3"/>
      <c r="G1735" s="3"/>
      <c r="I1735" s="3"/>
      <c r="K1735" s="3"/>
      <c r="M1735" s="3"/>
      <c r="O1735" s="3"/>
      <c r="Q1735" s="3"/>
      <c r="S1735" s="3"/>
      <c r="U1735" s="3"/>
      <c r="V1735" s="3"/>
      <c r="W1735" s="3"/>
      <c r="X1735" s="3"/>
      <c r="Y1735" s="3"/>
    </row>
    <row r="1736" spans="3:25" x14ac:dyDescent="0.2">
      <c r="C1736" s="3"/>
      <c r="E1736" s="3"/>
      <c r="G1736" s="3"/>
      <c r="I1736" s="3"/>
      <c r="K1736" s="3"/>
      <c r="M1736" s="3"/>
      <c r="O1736" s="3"/>
      <c r="Q1736" s="3"/>
      <c r="S1736" s="3"/>
      <c r="U1736" s="3"/>
      <c r="V1736" s="3"/>
      <c r="W1736" s="3"/>
      <c r="X1736" s="3"/>
      <c r="Y1736" s="3"/>
    </row>
    <row r="1737" spans="3:25" x14ac:dyDescent="0.2">
      <c r="C1737" s="3"/>
      <c r="E1737" s="3"/>
      <c r="G1737" s="3"/>
      <c r="I1737" s="3"/>
      <c r="K1737" s="3"/>
      <c r="M1737" s="3"/>
      <c r="O1737" s="3"/>
      <c r="Q1737" s="3"/>
      <c r="S1737" s="3"/>
      <c r="U1737" s="3"/>
      <c r="V1737" s="3"/>
      <c r="W1737" s="3"/>
      <c r="X1737" s="3"/>
      <c r="Y1737" s="3"/>
    </row>
    <row r="1738" spans="3:25" x14ac:dyDescent="0.2">
      <c r="C1738" s="3"/>
      <c r="E1738" s="3"/>
      <c r="G1738" s="3"/>
      <c r="I1738" s="3"/>
      <c r="K1738" s="3"/>
      <c r="M1738" s="3"/>
      <c r="O1738" s="3"/>
      <c r="Q1738" s="3"/>
      <c r="S1738" s="3"/>
      <c r="U1738" s="3"/>
      <c r="V1738" s="3"/>
      <c r="W1738" s="3"/>
      <c r="X1738" s="3"/>
      <c r="Y1738" s="3"/>
    </row>
    <row r="1739" spans="3:25" x14ac:dyDescent="0.2">
      <c r="C1739" s="3"/>
      <c r="E1739" s="3"/>
      <c r="G1739" s="3"/>
      <c r="I1739" s="3"/>
      <c r="K1739" s="3"/>
      <c r="M1739" s="3"/>
      <c r="O1739" s="3"/>
      <c r="Q1739" s="3"/>
      <c r="S1739" s="3"/>
      <c r="U1739" s="3"/>
      <c r="V1739" s="3"/>
      <c r="W1739" s="3"/>
      <c r="X1739" s="3"/>
      <c r="Y1739" s="3"/>
    </row>
    <row r="1740" spans="3:25" x14ac:dyDescent="0.2">
      <c r="C1740" s="3"/>
      <c r="E1740" s="3"/>
      <c r="G1740" s="3"/>
      <c r="I1740" s="3"/>
      <c r="K1740" s="3"/>
      <c r="M1740" s="3"/>
      <c r="O1740" s="3"/>
      <c r="Q1740" s="3"/>
      <c r="S1740" s="3"/>
      <c r="U1740" s="3"/>
      <c r="V1740" s="3"/>
      <c r="W1740" s="3"/>
      <c r="X1740" s="3"/>
      <c r="Y1740" s="3"/>
    </row>
    <row r="1741" spans="3:25" x14ac:dyDescent="0.2">
      <c r="C1741" s="3"/>
      <c r="E1741" s="3"/>
      <c r="G1741" s="3"/>
      <c r="I1741" s="3"/>
      <c r="K1741" s="3"/>
      <c r="M1741" s="3"/>
      <c r="O1741" s="3"/>
      <c r="Q1741" s="3"/>
      <c r="S1741" s="3"/>
      <c r="U1741" s="3"/>
      <c r="V1741" s="3"/>
      <c r="W1741" s="3"/>
      <c r="X1741" s="3"/>
      <c r="Y1741" s="3"/>
    </row>
    <row r="1742" spans="3:25" x14ac:dyDescent="0.2">
      <c r="C1742" s="3"/>
      <c r="E1742" s="3"/>
      <c r="G1742" s="3"/>
      <c r="I1742" s="3"/>
      <c r="K1742" s="3"/>
      <c r="M1742" s="3"/>
      <c r="O1742" s="3"/>
      <c r="Q1742" s="3"/>
      <c r="S1742" s="3"/>
      <c r="U1742" s="3"/>
      <c r="V1742" s="3"/>
      <c r="W1742" s="3"/>
      <c r="X1742" s="3"/>
      <c r="Y1742" s="3"/>
    </row>
    <row r="1743" spans="3:25" x14ac:dyDescent="0.2">
      <c r="C1743" s="3"/>
      <c r="E1743" s="3"/>
      <c r="G1743" s="3"/>
      <c r="I1743" s="3"/>
      <c r="K1743" s="3"/>
      <c r="M1743" s="3"/>
      <c r="O1743" s="3"/>
      <c r="Q1743" s="3"/>
      <c r="S1743" s="3"/>
      <c r="U1743" s="3"/>
      <c r="V1743" s="3"/>
      <c r="W1743" s="3"/>
      <c r="X1743" s="3"/>
      <c r="Y1743" s="3"/>
    </row>
    <row r="1744" spans="3:25" x14ac:dyDescent="0.2">
      <c r="C1744" s="3"/>
      <c r="E1744" s="3"/>
      <c r="G1744" s="3"/>
      <c r="I1744" s="3"/>
      <c r="K1744" s="3"/>
      <c r="M1744" s="3"/>
      <c r="O1744" s="3"/>
      <c r="Q1744" s="3"/>
      <c r="S1744" s="3"/>
      <c r="U1744" s="3"/>
      <c r="V1744" s="3"/>
      <c r="W1744" s="3"/>
      <c r="X1744" s="3"/>
      <c r="Y1744" s="3"/>
    </row>
    <row r="1745" spans="3:25" x14ac:dyDescent="0.2">
      <c r="C1745" s="3"/>
      <c r="E1745" s="3"/>
      <c r="G1745" s="3"/>
      <c r="I1745" s="3"/>
      <c r="K1745" s="3"/>
      <c r="M1745" s="3"/>
      <c r="O1745" s="3"/>
      <c r="Q1745" s="3"/>
      <c r="S1745" s="3"/>
      <c r="U1745" s="3"/>
      <c r="V1745" s="3"/>
      <c r="W1745" s="3"/>
      <c r="X1745" s="3"/>
      <c r="Y1745" s="3"/>
    </row>
    <row r="1746" spans="3:25" x14ac:dyDescent="0.2">
      <c r="C1746" s="3"/>
      <c r="E1746" s="3"/>
      <c r="G1746" s="3"/>
      <c r="I1746" s="3"/>
      <c r="K1746" s="3"/>
      <c r="M1746" s="3"/>
      <c r="O1746" s="3"/>
      <c r="Q1746" s="3"/>
      <c r="S1746" s="3"/>
      <c r="U1746" s="3"/>
      <c r="V1746" s="3"/>
      <c r="W1746" s="3"/>
      <c r="X1746" s="3"/>
      <c r="Y1746" s="3"/>
    </row>
    <row r="1747" spans="3:25" x14ac:dyDescent="0.2">
      <c r="C1747" s="3"/>
      <c r="E1747" s="3"/>
      <c r="G1747" s="3"/>
      <c r="I1747" s="3"/>
      <c r="K1747" s="3"/>
      <c r="M1747" s="3"/>
      <c r="O1747" s="3"/>
      <c r="Q1747" s="3"/>
      <c r="S1747" s="3"/>
      <c r="U1747" s="3"/>
      <c r="V1747" s="3"/>
      <c r="W1747" s="3"/>
      <c r="X1747" s="3"/>
      <c r="Y1747" s="3"/>
    </row>
    <row r="1748" spans="3:25" x14ac:dyDescent="0.2">
      <c r="C1748" s="3"/>
      <c r="E1748" s="3"/>
      <c r="G1748" s="3"/>
      <c r="I1748" s="3"/>
      <c r="K1748" s="3"/>
      <c r="M1748" s="3"/>
      <c r="O1748" s="3"/>
      <c r="Q1748" s="3"/>
      <c r="S1748" s="3"/>
      <c r="U1748" s="3"/>
      <c r="V1748" s="3"/>
      <c r="W1748" s="3"/>
      <c r="X1748" s="3"/>
      <c r="Y1748" s="3"/>
    </row>
    <row r="1749" spans="3:25" x14ac:dyDescent="0.2">
      <c r="C1749" s="3"/>
      <c r="E1749" s="3"/>
      <c r="G1749" s="3"/>
      <c r="I1749" s="3"/>
      <c r="K1749" s="3"/>
      <c r="M1749" s="3"/>
      <c r="O1749" s="3"/>
      <c r="Q1749" s="3"/>
      <c r="S1749" s="3"/>
      <c r="U1749" s="3"/>
      <c r="V1749" s="3"/>
      <c r="W1749" s="3"/>
      <c r="X1749" s="3"/>
      <c r="Y1749" s="3"/>
    </row>
    <row r="1750" spans="3:25" x14ac:dyDescent="0.2">
      <c r="C1750" s="3"/>
      <c r="E1750" s="3"/>
      <c r="G1750" s="3"/>
      <c r="I1750" s="3"/>
      <c r="K1750" s="3"/>
      <c r="M1750" s="3"/>
      <c r="O1750" s="3"/>
      <c r="Q1750" s="3"/>
      <c r="S1750" s="3"/>
      <c r="U1750" s="3"/>
      <c r="V1750" s="3"/>
      <c r="W1750" s="3"/>
      <c r="X1750" s="3"/>
      <c r="Y1750" s="3"/>
    </row>
    <row r="1751" spans="3:25" x14ac:dyDescent="0.2">
      <c r="C1751" s="3"/>
      <c r="E1751" s="3"/>
      <c r="G1751" s="3"/>
      <c r="I1751" s="3"/>
      <c r="K1751" s="3"/>
      <c r="M1751" s="3"/>
      <c r="O1751" s="3"/>
      <c r="Q1751" s="3"/>
      <c r="S1751" s="3"/>
      <c r="U1751" s="3"/>
      <c r="V1751" s="3"/>
      <c r="W1751" s="3"/>
      <c r="X1751" s="3"/>
      <c r="Y1751" s="3"/>
    </row>
    <row r="1752" spans="3:25" x14ac:dyDescent="0.2">
      <c r="C1752" s="3"/>
      <c r="E1752" s="3"/>
      <c r="G1752" s="3"/>
      <c r="I1752" s="3"/>
      <c r="K1752" s="3"/>
      <c r="M1752" s="3"/>
      <c r="O1752" s="3"/>
      <c r="Q1752" s="3"/>
      <c r="S1752" s="3"/>
      <c r="U1752" s="3"/>
      <c r="V1752" s="3"/>
      <c r="W1752" s="3"/>
      <c r="X1752" s="3"/>
      <c r="Y1752" s="3"/>
    </row>
    <row r="1753" spans="3:25" x14ac:dyDescent="0.2">
      <c r="C1753" s="3"/>
      <c r="E1753" s="3"/>
      <c r="G1753" s="3"/>
      <c r="I1753" s="3"/>
      <c r="K1753" s="3"/>
      <c r="M1753" s="3"/>
      <c r="O1753" s="3"/>
      <c r="Q1753" s="3"/>
      <c r="S1753" s="3"/>
      <c r="U1753" s="3"/>
      <c r="V1753" s="3"/>
      <c r="W1753" s="3"/>
      <c r="X1753" s="3"/>
      <c r="Y1753" s="3"/>
    </row>
    <row r="1754" spans="3:25" x14ac:dyDescent="0.2">
      <c r="C1754" s="3"/>
      <c r="E1754" s="3"/>
      <c r="G1754" s="3"/>
      <c r="I1754" s="3"/>
      <c r="K1754" s="3"/>
      <c r="M1754" s="3"/>
      <c r="O1754" s="3"/>
      <c r="Q1754" s="3"/>
      <c r="S1754" s="3"/>
      <c r="U1754" s="3"/>
      <c r="V1754" s="3"/>
      <c r="W1754" s="3"/>
      <c r="X1754" s="3"/>
      <c r="Y1754" s="3"/>
    </row>
    <row r="1755" spans="3:25" x14ac:dyDescent="0.2">
      <c r="C1755" s="3"/>
      <c r="E1755" s="3"/>
      <c r="G1755" s="3"/>
      <c r="I1755" s="3"/>
      <c r="K1755" s="3"/>
      <c r="M1755" s="3"/>
      <c r="O1755" s="3"/>
      <c r="Q1755" s="3"/>
      <c r="S1755" s="3"/>
      <c r="U1755" s="3"/>
      <c r="V1755" s="3"/>
      <c r="W1755" s="3"/>
      <c r="X1755" s="3"/>
      <c r="Y1755" s="3"/>
    </row>
    <row r="1756" spans="3:25" x14ac:dyDescent="0.2">
      <c r="C1756" s="3"/>
      <c r="E1756" s="3"/>
      <c r="G1756" s="3"/>
      <c r="I1756" s="3"/>
      <c r="K1756" s="3"/>
      <c r="M1756" s="3"/>
      <c r="O1756" s="3"/>
      <c r="Q1756" s="3"/>
      <c r="S1756" s="3"/>
      <c r="U1756" s="3"/>
      <c r="V1756" s="3"/>
      <c r="W1756" s="3"/>
      <c r="X1756" s="3"/>
      <c r="Y1756" s="3"/>
    </row>
    <row r="1757" spans="3:25" x14ac:dyDescent="0.2">
      <c r="C1757" s="3"/>
      <c r="E1757" s="3"/>
      <c r="G1757" s="3"/>
      <c r="I1757" s="3"/>
      <c r="K1757" s="3"/>
      <c r="M1757" s="3"/>
      <c r="O1757" s="3"/>
      <c r="Q1757" s="3"/>
      <c r="S1757" s="3"/>
      <c r="U1757" s="3"/>
      <c r="V1757" s="3"/>
      <c r="W1757" s="3"/>
      <c r="X1757" s="3"/>
      <c r="Y1757" s="3"/>
    </row>
    <row r="1758" spans="3:25" x14ac:dyDescent="0.2">
      <c r="C1758" s="3"/>
      <c r="E1758" s="3"/>
      <c r="G1758" s="3"/>
      <c r="I1758" s="3"/>
      <c r="K1758" s="3"/>
      <c r="M1758" s="3"/>
      <c r="O1758" s="3"/>
      <c r="Q1758" s="3"/>
      <c r="S1758" s="3"/>
      <c r="U1758" s="3"/>
      <c r="V1758" s="3"/>
      <c r="W1758" s="3"/>
      <c r="X1758" s="3"/>
      <c r="Y1758" s="3"/>
    </row>
    <row r="1759" spans="3:25" x14ac:dyDescent="0.2">
      <c r="C1759" s="3"/>
      <c r="E1759" s="3"/>
      <c r="G1759" s="3"/>
      <c r="I1759" s="3"/>
      <c r="K1759" s="3"/>
      <c r="M1759" s="3"/>
      <c r="O1759" s="3"/>
      <c r="Q1759" s="3"/>
      <c r="S1759" s="3"/>
      <c r="U1759" s="3"/>
      <c r="V1759" s="3"/>
      <c r="W1759" s="3"/>
      <c r="X1759" s="3"/>
      <c r="Y1759" s="3"/>
    </row>
    <row r="1760" spans="3:25" x14ac:dyDescent="0.2">
      <c r="C1760" s="3"/>
      <c r="E1760" s="3"/>
      <c r="G1760" s="3"/>
      <c r="I1760" s="3"/>
      <c r="K1760" s="3"/>
      <c r="M1760" s="3"/>
      <c r="O1760" s="3"/>
      <c r="Q1760" s="3"/>
      <c r="S1760" s="3"/>
      <c r="U1760" s="3"/>
      <c r="V1760" s="3"/>
      <c r="W1760" s="3"/>
      <c r="X1760" s="3"/>
      <c r="Y1760" s="3"/>
    </row>
    <row r="1761" spans="3:25" x14ac:dyDescent="0.2">
      <c r="C1761" s="3"/>
      <c r="E1761" s="3"/>
      <c r="G1761" s="3"/>
      <c r="I1761" s="3"/>
      <c r="K1761" s="3"/>
      <c r="M1761" s="3"/>
      <c r="O1761" s="3"/>
      <c r="Q1761" s="3"/>
      <c r="S1761" s="3"/>
      <c r="U1761" s="3"/>
      <c r="V1761" s="3"/>
      <c r="W1761" s="3"/>
      <c r="X1761" s="3"/>
      <c r="Y1761" s="3"/>
    </row>
    <row r="1762" spans="3:25" x14ac:dyDescent="0.2">
      <c r="C1762" s="3"/>
      <c r="E1762" s="3"/>
      <c r="G1762" s="3"/>
      <c r="I1762" s="3"/>
      <c r="K1762" s="3"/>
      <c r="M1762" s="3"/>
      <c r="O1762" s="3"/>
      <c r="Q1762" s="3"/>
      <c r="S1762" s="3"/>
      <c r="U1762" s="3"/>
      <c r="V1762" s="3"/>
      <c r="W1762" s="3"/>
      <c r="X1762" s="3"/>
      <c r="Y1762" s="3"/>
    </row>
    <row r="1763" spans="3:25" x14ac:dyDescent="0.2">
      <c r="C1763" s="3"/>
      <c r="E1763" s="3"/>
      <c r="G1763" s="3"/>
      <c r="I1763" s="3"/>
      <c r="K1763" s="3"/>
      <c r="M1763" s="3"/>
      <c r="O1763" s="3"/>
      <c r="Q1763" s="3"/>
      <c r="S1763" s="3"/>
      <c r="U1763" s="3"/>
      <c r="V1763" s="3"/>
      <c r="W1763" s="3"/>
      <c r="X1763" s="3"/>
      <c r="Y1763" s="3"/>
    </row>
    <row r="1764" spans="3:25" x14ac:dyDescent="0.2">
      <c r="C1764" s="3"/>
      <c r="E1764" s="3"/>
      <c r="G1764" s="3"/>
      <c r="I1764" s="3"/>
      <c r="K1764" s="3"/>
      <c r="M1764" s="3"/>
      <c r="O1764" s="3"/>
      <c r="Q1764" s="3"/>
      <c r="S1764" s="3"/>
      <c r="U1764" s="3"/>
      <c r="V1764" s="3"/>
      <c r="W1764" s="3"/>
      <c r="X1764" s="3"/>
      <c r="Y1764" s="3"/>
    </row>
    <row r="1765" spans="3:25" x14ac:dyDescent="0.2">
      <c r="C1765" s="3"/>
      <c r="E1765" s="3"/>
      <c r="G1765" s="3"/>
      <c r="I1765" s="3"/>
      <c r="K1765" s="3"/>
      <c r="M1765" s="3"/>
      <c r="O1765" s="3"/>
      <c r="Q1765" s="3"/>
      <c r="S1765" s="3"/>
      <c r="U1765" s="3"/>
      <c r="V1765" s="3"/>
      <c r="W1765" s="3"/>
      <c r="X1765" s="3"/>
      <c r="Y1765" s="3"/>
    </row>
    <row r="1766" spans="3:25" x14ac:dyDescent="0.2">
      <c r="C1766" s="3"/>
      <c r="E1766" s="3"/>
      <c r="G1766" s="3"/>
      <c r="I1766" s="3"/>
      <c r="K1766" s="3"/>
      <c r="M1766" s="3"/>
      <c r="O1766" s="3"/>
      <c r="Q1766" s="3"/>
      <c r="S1766" s="3"/>
      <c r="U1766" s="3"/>
      <c r="V1766" s="3"/>
      <c r="W1766" s="3"/>
      <c r="X1766" s="3"/>
      <c r="Y1766" s="3"/>
    </row>
    <row r="1767" spans="3:25" x14ac:dyDescent="0.2">
      <c r="C1767" s="3"/>
      <c r="E1767" s="3"/>
      <c r="G1767" s="3"/>
      <c r="I1767" s="3"/>
      <c r="K1767" s="3"/>
      <c r="M1767" s="3"/>
      <c r="O1767" s="3"/>
      <c r="Q1767" s="3"/>
      <c r="S1767" s="3"/>
      <c r="U1767" s="3"/>
      <c r="V1767" s="3"/>
      <c r="W1767" s="3"/>
      <c r="X1767" s="3"/>
      <c r="Y1767" s="3"/>
    </row>
    <row r="1768" spans="3:25" x14ac:dyDescent="0.2">
      <c r="C1768" s="3"/>
      <c r="E1768" s="3"/>
      <c r="G1768" s="3"/>
      <c r="I1768" s="3"/>
      <c r="K1768" s="3"/>
      <c r="M1768" s="3"/>
      <c r="O1768" s="3"/>
      <c r="Q1768" s="3"/>
      <c r="S1768" s="3"/>
      <c r="U1768" s="3"/>
      <c r="V1768" s="3"/>
      <c r="W1768" s="3"/>
      <c r="X1768" s="3"/>
      <c r="Y1768" s="3"/>
    </row>
    <row r="1769" spans="3:25" x14ac:dyDescent="0.2">
      <c r="C1769" s="3"/>
      <c r="E1769" s="3"/>
      <c r="G1769" s="3"/>
      <c r="I1769" s="3"/>
      <c r="K1769" s="3"/>
      <c r="M1769" s="3"/>
      <c r="O1769" s="3"/>
      <c r="Q1769" s="3"/>
      <c r="S1769" s="3"/>
      <c r="U1769" s="3"/>
      <c r="V1769" s="3"/>
      <c r="W1769" s="3"/>
      <c r="X1769" s="3"/>
      <c r="Y1769" s="3"/>
    </row>
    <row r="1770" spans="3:25" x14ac:dyDescent="0.2">
      <c r="C1770" s="3"/>
      <c r="E1770" s="3"/>
      <c r="G1770" s="3"/>
      <c r="I1770" s="3"/>
      <c r="K1770" s="3"/>
      <c r="M1770" s="3"/>
      <c r="O1770" s="3"/>
      <c r="Q1770" s="3"/>
      <c r="S1770" s="3"/>
      <c r="U1770" s="3"/>
      <c r="V1770" s="3"/>
      <c r="W1770" s="3"/>
      <c r="X1770" s="3"/>
      <c r="Y1770" s="3"/>
    </row>
    <row r="1771" spans="3:25" x14ac:dyDescent="0.2">
      <c r="C1771" s="3"/>
      <c r="E1771" s="3"/>
      <c r="G1771" s="3"/>
      <c r="I1771" s="3"/>
      <c r="K1771" s="3"/>
      <c r="M1771" s="3"/>
      <c r="O1771" s="3"/>
      <c r="Q1771" s="3"/>
      <c r="S1771" s="3"/>
      <c r="U1771" s="3"/>
      <c r="V1771" s="3"/>
      <c r="W1771" s="3"/>
      <c r="X1771" s="3"/>
      <c r="Y1771" s="3"/>
    </row>
    <row r="1772" spans="3:25" x14ac:dyDescent="0.2">
      <c r="C1772" s="3"/>
      <c r="E1772" s="3"/>
      <c r="G1772" s="3"/>
      <c r="I1772" s="3"/>
      <c r="K1772" s="3"/>
      <c r="M1772" s="3"/>
      <c r="O1772" s="3"/>
      <c r="Q1772" s="3"/>
      <c r="S1772" s="3"/>
      <c r="U1772" s="3"/>
      <c r="V1772" s="3"/>
      <c r="W1772" s="3"/>
      <c r="X1772" s="3"/>
      <c r="Y1772" s="3"/>
    </row>
    <row r="1773" spans="3:25" x14ac:dyDescent="0.2">
      <c r="C1773" s="3"/>
      <c r="E1773" s="3"/>
      <c r="G1773" s="3"/>
      <c r="I1773" s="3"/>
      <c r="K1773" s="3"/>
      <c r="M1773" s="3"/>
      <c r="O1773" s="3"/>
      <c r="Q1773" s="3"/>
      <c r="S1773" s="3"/>
      <c r="U1773" s="3"/>
      <c r="V1773" s="3"/>
      <c r="W1773" s="3"/>
      <c r="X1773" s="3"/>
      <c r="Y1773" s="3"/>
    </row>
    <row r="1774" spans="3:25" x14ac:dyDescent="0.2">
      <c r="C1774" s="3"/>
      <c r="E1774" s="3"/>
      <c r="G1774" s="3"/>
      <c r="I1774" s="3"/>
      <c r="K1774" s="3"/>
      <c r="M1774" s="3"/>
      <c r="O1774" s="3"/>
      <c r="Q1774" s="3"/>
      <c r="S1774" s="3"/>
      <c r="U1774" s="3"/>
      <c r="V1774" s="3"/>
      <c r="W1774" s="3"/>
      <c r="X1774" s="3"/>
      <c r="Y1774" s="3"/>
    </row>
    <row r="1775" spans="3:25" x14ac:dyDescent="0.2">
      <c r="C1775" s="3"/>
      <c r="E1775" s="3"/>
      <c r="G1775" s="3"/>
      <c r="I1775" s="3"/>
      <c r="K1775" s="3"/>
      <c r="M1775" s="3"/>
      <c r="O1775" s="3"/>
      <c r="Q1775" s="3"/>
      <c r="S1775" s="3"/>
      <c r="U1775" s="3"/>
      <c r="V1775" s="3"/>
      <c r="W1775" s="3"/>
      <c r="X1775" s="3"/>
      <c r="Y1775" s="3"/>
    </row>
    <row r="1776" spans="3:25" x14ac:dyDescent="0.2">
      <c r="C1776" s="3"/>
      <c r="E1776" s="3"/>
      <c r="G1776" s="3"/>
      <c r="I1776" s="3"/>
      <c r="K1776" s="3"/>
      <c r="M1776" s="3"/>
      <c r="O1776" s="3"/>
      <c r="Q1776" s="3"/>
      <c r="S1776" s="3"/>
      <c r="U1776" s="3"/>
      <c r="V1776" s="3"/>
      <c r="W1776" s="3"/>
      <c r="X1776" s="3"/>
      <c r="Y1776" s="3"/>
    </row>
    <row r="1777" spans="3:25" x14ac:dyDescent="0.2">
      <c r="C1777" s="3"/>
      <c r="E1777" s="3"/>
      <c r="G1777" s="3"/>
      <c r="I1777" s="3"/>
      <c r="K1777" s="3"/>
      <c r="M1777" s="3"/>
      <c r="O1777" s="3"/>
      <c r="Q1777" s="3"/>
      <c r="S1777" s="3"/>
      <c r="U1777" s="3"/>
      <c r="V1777" s="3"/>
      <c r="W1777" s="3"/>
      <c r="X1777" s="3"/>
      <c r="Y1777" s="3"/>
    </row>
    <row r="1778" spans="3:25" x14ac:dyDescent="0.2">
      <c r="C1778" s="3"/>
      <c r="E1778" s="3"/>
      <c r="G1778" s="3"/>
      <c r="I1778" s="3"/>
      <c r="K1778" s="3"/>
      <c r="M1778" s="3"/>
      <c r="O1778" s="3"/>
      <c r="Q1778" s="3"/>
      <c r="S1778" s="3"/>
      <c r="U1778" s="3"/>
      <c r="V1778" s="3"/>
      <c r="W1778" s="3"/>
      <c r="X1778" s="3"/>
      <c r="Y1778" s="3"/>
    </row>
    <row r="1779" spans="3:25" x14ac:dyDescent="0.2">
      <c r="C1779" s="3"/>
      <c r="E1779" s="3"/>
      <c r="G1779" s="3"/>
      <c r="I1779" s="3"/>
      <c r="K1779" s="3"/>
      <c r="M1779" s="3"/>
      <c r="O1779" s="3"/>
      <c r="Q1779" s="3"/>
      <c r="S1779" s="3"/>
      <c r="U1779" s="3"/>
      <c r="V1779" s="3"/>
      <c r="W1779" s="3"/>
      <c r="X1779" s="3"/>
      <c r="Y1779" s="3"/>
    </row>
    <row r="1780" spans="3:25" x14ac:dyDescent="0.2">
      <c r="C1780" s="3"/>
      <c r="E1780" s="3"/>
      <c r="G1780" s="3"/>
      <c r="I1780" s="3"/>
      <c r="K1780" s="3"/>
      <c r="M1780" s="3"/>
      <c r="O1780" s="3"/>
      <c r="Q1780" s="3"/>
      <c r="S1780" s="3"/>
      <c r="U1780" s="3"/>
      <c r="V1780" s="3"/>
      <c r="W1780" s="3"/>
      <c r="X1780" s="3"/>
      <c r="Y1780" s="3"/>
    </row>
    <row r="1781" spans="3:25" x14ac:dyDescent="0.2">
      <c r="C1781" s="3"/>
      <c r="E1781" s="3"/>
      <c r="G1781" s="3"/>
      <c r="I1781" s="3"/>
      <c r="K1781" s="3"/>
      <c r="M1781" s="3"/>
      <c r="O1781" s="3"/>
      <c r="Q1781" s="3"/>
      <c r="S1781" s="3"/>
      <c r="U1781" s="3"/>
      <c r="V1781" s="3"/>
      <c r="W1781" s="3"/>
      <c r="X1781" s="3"/>
      <c r="Y1781" s="3"/>
    </row>
    <row r="1782" spans="3:25" x14ac:dyDescent="0.2">
      <c r="C1782" s="3"/>
      <c r="E1782" s="3"/>
      <c r="G1782" s="3"/>
      <c r="I1782" s="3"/>
      <c r="K1782" s="3"/>
      <c r="M1782" s="3"/>
      <c r="O1782" s="3"/>
      <c r="Q1782" s="3"/>
      <c r="S1782" s="3"/>
      <c r="U1782" s="3"/>
      <c r="V1782" s="3"/>
      <c r="W1782" s="3"/>
      <c r="X1782" s="3"/>
      <c r="Y1782" s="3"/>
    </row>
    <row r="1783" spans="3:25" x14ac:dyDescent="0.2">
      <c r="C1783" s="3"/>
      <c r="E1783" s="3"/>
      <c r="G1783" s="3"/>
      <c r="I1783" s="3"/>
      <c r="K1783" s="3"/>
      <c r="M1783" s="3"/>
      <c r="O1783" s="3"/>
      <c r="Q1783" s="3"/>
      <c r="S1783" s="3"/>
      <c r="U1783" s="3"/>
      <c r="V1783" s="3"/>
      <c r="W1783" s="3"/>
      <c r="X1783" s="3"/>
      <c r="Y1783" s="3"/>
    </row>
    <row r="1784" spans="3:25" x14ac:dyDescent="0.2">
      <c r="C1784" s="3"/>
      <c r="E1784" s="3"/>
      <c r="G1784" s="3"/>
      <c r="I1784" s="3"/>
      <c r="K1784" s="3"/>
      <c r="M1784" s="3"/>
      <c r="O1784" s="3"/>
      <c r="Q1784" s="3"/>
      <c r="S1784" s="3"/>
      <c r="U1784" s="3"/>
      <c r="V1784" s="3"/>
      <c r="W1784" s="3"/>
      <c r="X1784" s="3"/>
      <c r="Y1784" s="3"/>
    </row>
    <row r="1785" spans="3:25" x14ac:dyDescent="0.2">
      <c r="C1785" s="3"/>
      <c r="E1785" s="3"/>
      <c r="G1785" s="3"/>
      <c r="I1785" s="3"/>
      <c r="K1785" s="3"/>
      <c r="M1785" s="3"/>
      <c r="O1785" s="3"/>
      <c r="Q1785" s="3"/>
      <c r="S1785" s="3"/>
      <c r="U1785" s="3"/>
      <c r="V1785" s="3"/>
      <c r="W1785" s="3"/>
      <c r="X1785" s="3"/>
      <c r="Y1785" s="3"/>
    </row>
    <row r="1786" spans="3:25" x14ac:dyDescent="0.2">
      <c r="C1786" s="3"/>
      <c r="E1786" s="3"/>
      <c r="G1786" s="3"/>
      <c r="I1786" s="3"/>
      <c r="K1786" s="3"/>
      <c r="M1786" s="3"/>
      <c r="O1786" s="3"/>
      <c r="Q1786" s="3"/>
      <c r="S1786" s="3"/>
      <c r="U1786" s="3"/>
      <c r="V1786" s="3"/>
      <c r="W1786" s="3"/>
      <c r="X1786" s="3"/>
      <c r="Y1786" s="3"/>
    </row>
    <row r="1787" spans="3:25" x14ac:dyDescent="0.2">
      <c r="C1787" s="3"/>
      <c r="E1787" s="3"/>
      <c r="G1787" s="3"/>
      <c r="I1787" s="3"/>
      <c r="K1787" s="3"/>
      <c r="M1787" s="3"/>
      <c r="O1787" s="3"/>
      <c r="Q1787" s="3"/>
      <c r="S1787" s="3"/>
      <c r="U1787" s="3"/>
      <c r="V1787" s="3"/>
      <c r="W1787" s="3"/>
      <c r="X1787" s="3"/>
      <c r="Y1787" s="3"/>
    </row>
    <row r="1788" spans="3:25" x14ac:dyDescent="0.2">
      <c r="C1788" s="3"/>
      <c r="E1788" s="3"/>
      <c r="G1788" s="3"/>
      <c r="I1788" s="3"/>
      <c r="K1788" s="3"/>
      <c r="M1788" s="3"/>
      <c r="O1788" s="3"/>
      <c r="Q1788" s="3"/>
      <c r="S1788" s="3"/>
      <c r="U1788" s="3"/>
      <c r="V1788" s="3"/>
      <c r="W1788" s="3"/>
      <c r="X1788" s="3"/>
      <c r="Y1788" s="3"/>
    </row>
    <row r="1789" spans="3:25" x14ac:dyDescent="0.2">
      <c r="C1789" s="3"/>
      <c r="E1789" s="3"/>
      <c r="G1789" s="3"/>
      <c r="I1789" s="3"/>
      <c r="K1789" s="3"/>
      <c r="M1789" s="3"/>
      <c r="O1789" s="3"/>
      <c r="Q1789" s="3"/>
      <c r="S1789" s="3"/>
      <c r="U1789" s="3"/>
      <c r="V1789" s="3"/>
      <c r="W1789" s="3"/>
      <c r="X1789" s="3"/>
      <c r="Y1789" s="3"/>
    </row>
    <row r="1790" spans="3:25" x14ac:dyDescent="0.2">
      <c r="C1790" s="3"/>
      <c r="E1790" s="3"/>
      <c r="G1790" s="3"/>
      <c r="I1790" s="3"/>
      <c r="K1790" s="3"/>
      <c r="M1790" s="3"/>
      <c r="O1790" s="3"/>
      <c r="Q1790" s="3"/>
      <c r="S1790" s="3"/>
      <c r="U1790" s="3"/>
      <c r="V1790" s="3"/>
      <c r="W1790" s="3"/>
      <c r="X1790" s="3"/>
      <c r="Y1790" s="3"/>
    </row>
    <row r="1791" spans="3:25" x14ac:dyDescent="0.2">
      <c r="C1791" s="3"/>
      <c r="E1791" s="3"/>
      <c r="G1791" s="3"/>
      <c r="I1791" s="3"/>
      <c r="K1791" s="3"/>
      <c r="M1791" s="3"/>
      <c r="O1791" s="3"/>
      <c r="Q1791" s="3"/>
      <c r="S1791" s="3"/>
      <c r="U1791" s="3"/>
      <c r="V1791" s="3"/>
      <c r="W1791" s="3"/>
      <c r="X1791" s="3"/>
      <c r="Y1791" s="3"/>
    </row>
    <row r="1792" spans="3:25" x14ac:dyDescent="0.2">
      <c r="C1792" s="3"/>
      <c r="E1792" s="3"/>
      <c r="G1792" s="3"/>
      <c r="I1792" s="3"/>
      <c r="K1792" s="3"/>
      <c r="M1792" s="3"/>
      <c r="O1792" s="3"/>
      <c r="Q1792" s="3"/>
      <c r="S1792" s="3"/>
      <c r="U1792" s="3"/>
      <c r="V1792" s="3"/>
      <c r="W1792" s="3"/>
      <c r="X1792" s="3"/>
      <c r="Y1792" s="3"/>
    </row>
    <row r="1793" spans="3:25" x14ac:dyDescent="0.2">
      <c r="C1793" s="3"/>
      <c r="E1793" s="3"/>
      <c r="G1793" s="3"/>
      <c r="I1793" s="3"/>
      <c r="K1793" s="3"/>
      <c r="M1793" s="3"/>
      <c r="O1793" s="3"/>
      <c r="Q1793" s="3"/>
      <c r="S1793" s="3"/>
      <c r="U1793" s="3"/>
      <c r="V1793" s="3"/>
      <c r="W1793" s="3"/>
      <c r="X1793" s="3"/>
      <c r="Y1793" s="3"/>
    </row>
    <row r="1794" spans="3:25" x14ac:dyDescent="0.2">
      <c r="C1794" s="3"/>
      <c r="E1794" s="3"/>
      <c r="G1794" s="3"/>
      <c r="I1794" s="3"/>
      <c r="K1794" s="3"/>
      <c r="M1794" s="3"/>
      <c r="O1794" s="3"/>
      <c r="Q1794" s="3"/>
      <c r="S1794" s="3"/>
      <c r="U1794" s="3"/>
      <c r="V1794" s="3"/>
      <c r="W1794" s="3"/>
      <c r="X1794" s="3"/>
      <c r="Y1794" s="3"/>
    </row>
    <row r="1795" spans="3:25" x14ac:dyDescent="0.2">
      <c r="C1795" s="3"/>
      <c r="E1795" s="3"/>
      <c r="G1795" s="3"/>
      <c r="I1795" s="3"/>
      <c r="K1795" s="3"/>
      <c r="M1795" s="3"/>
      <c r="O1795" s="3"/>
      <c r="Q1795" s="3"/>
      <c r="S1795" s="3"/>
      <c r="U1795" s="3"/>
      <c r="V1795" s="3"/>
      <c r="W1795" s="3"/>
      <c r="X1795" s="3"/>
      <c r="Y1795" s="3"/>
    </row>
    <row r="1796" spans="3:25" x14ac:dyDescent="0.2">
      <c r="C1796" s="3"/>
      <c r="E1796" s="3"/>
      <c r="G1796" s="3"/>
      <c r="I1796" s="3"/>
      <c r="K1796" s="3"/>
      <c r="M1796" s="3"/>
      <c r="O1796" s="3"/>
      <c r="Q1796" s="3"/>
      <c r="S1796" s="3"/>
      <c r="U1796" s="3"/>
      <c r="V1796" s="3"/>
      <c r="W1796" s="3"/>
      <c r="X1796" s="3"/>
      <c r="Y1796" s="3"/>
    </row>
    <row r="1797" spans="3:25" x14ac:dyDescent="0.2">
      <c r="C1797" s="3"/>
      <c r="E1797" s="3"/>
      <c r="G1797" s="3"/>
      <c r="I1797" s="3"/>
      <c r="K1797" s="3"/>
      <c r="M1797" s="3"/>
      <c r="O1797" s="3"/>
      <c r="Q1797" s="3"/>
      <c r="S1797" s="3"/>
      <c r="U1797" s="3"/>
      <c r="V1797" s="3"/>
      <c r="W1797" s="3"/>
      <c r="X1797" s="3"/>
      <c r="Y1797" s="3"/>
    </row>
    <row r="1798" spans="3:25" x14ac:dyDescent="0.2">
      <c r="C1798" s="3"/>
      <c r="E1798" s="3"/>
      <c r="G1798" s="3"/>
      <c r="I1798" s="3"/>
      <c r="K1798" s="3"/>
      <c r="M1798" s="3"/>
      <c r="O1798" s="3"/>
      <c r="Q1798" s="3"/>
      <c r="S1798" s="3"/>
      <c r="U1798" s="3"/>
      <c r="V1798" s="3"/>
      <c r="W1798" s="3"/>
      <c r="X1798" s="3"/>
      <c r="Y1798" s="3"/>
    </row>
    <row r="1799" spans="3:25" x14ac:dyDescent="0.2">
      <c r="C1799" s="3"/>
      <c r="E1799" s="3"/>
      <c r="G1799" s="3"/>
      <c r="I1799" s="3"/>
      <c r="K1799" s="3"/>
      <c r="M1799" s="3"/>
      <c r="O1799" s="3"/>
      <c r="Q1799" s="3"/>
      <c r="S1799" s="3"/>
      <c r="U1799" s="3"/>
      <c r="V1799" s="3"/>
      <c r="W1799" s="3"/>
      <c r="X1799" s="3"/>
      <c r="Y1799" s="3"/>
    </row>
    <row r="1800" spans="3:25" x14ac:dyDescent="0.2">
      <c r="C1800" s="3"/>
      <c r="E1800" s="3"/>
      <c r="G1800" s="3"/>
      <c r="I1800" s="3"/>
      <c r="K1800" s="3"/>
      <c r="M1800" s="3"/>
      <c r="O1800" s="3"/>
      <c r="Q1800" s="3"/>
      <c r="S1800" s="3"/>
      <c r="U1800" s="3"/>
      <c r="V1800" s="3"/>
      <c r="W1800" s="3"/>
      <c r="X1800" s="3"/>
      <c r="Y1800" s="3"/>
    </row>
    <row r="1801" spans="3:25" x14ac:dyDescent="0.2">
      <c r="C1801" s="3"/>
      <c r="E1801" s="3"/>
      <c r="G1801" s="3"/>
      <c r="I1801" s="3"/>
      <c r="K1801" s="3"/>
      <c r="M1801" s="3"/>
      <c r="O1801" s="3"/>
      <c r="Q1801" s="3"/>
      <c r="S1801" s="3"/>
      <c r="U1801" s="3"/>
      <c r="V1801" s="3"/>
      <c r="W1801" s="3"/>
      <c r="X1801" s="3"/>
      <c r="Y1801" s="3"/>
    </row>
    <row r="1802" spans="3:25" x14ac:dyDescent="0.2">
      <c r="C1802" s="3"/>
      <c r="E1802" s="3"/>
      <c r="G1802" s="3"/>
      <c r="I1802" s="3"/>
      <c r="K1802" s="3"/>
      <c r="M1802" s="3"/>
      <c r="O1802" s="3"/>
      <c r="Q1802" s="3"/>
      <c r="S1802" s="3"/>
      <c r="U1802" s="3"/>
      <c r="V1802" s="3"/>
      <c r="W1802" s="3"/>
      <c r="X1802" s="3"/>
      <c r="Y1802" s="3"/>
    </row>
    <row r="1803" spans="3:25" x14ac:dyDescent="0.2">
      <c r="C1803" s="3"/>
      <c r="E1803" s="3"/>
      <c r="G1803" s="3"/>
      <c r="I1803" s="3"/>
      <c r="K1803" s="3"/>
      <c r="M1803" s="3"/>
      <c r="O1803" s="3"/>
      <c r="Q1803" s="3"/>
      <c r="S1803" s="3"/>
      <c r="U1803" s="3"/>
      <c r="V1803" s="3"/>
      <c r="W1803" s="3"/>
      <c r="X1803" s="3"/>
      <c r="Y1803" s="3"/>
    </row>
    <row r="1804" spans="3:25" x14ac:dyDescent="0.2">
      <c r="C1804" s="3"/>
      <c r="E1804" s="3"/>
      <c r="G1804" s="3"/>
      <c r="I1804" s="3"/>
      <c r="K1804" s="3"/>
      <c r="M1804" s="3"/>
      <c r="O1804" s="3"/>
      <c r="Q1804" s="3"/>
      <c r="S1804" s="3"/>
      <c r="U1804" s="3"/>
      <c r="V1804" s="3"/>
      <c r="W1804" s="3"/>
      <c r="X1804" s="3"/>
      <c r="Y1804" s="3"/>
    </row>
    <row r="1805" spans="3:25" x14ac:dyDescent="0.2">
      <c r="C1805" s="3"/>
      <c r="E1805" s="3"/>
      <c r="G1805" s="3"/>
      <c r="I1805" s="3"/>
      <c r="K1805" s="3"/>
      <c r="M1805" s="3"/>
      <c r="O1805" s="3"/>
      <c r="Q1805" s="3"/>
      <c r="S1805" s="3"/>
      <c r="U1805" s="3"/>
      <c r="V1805" s="3"/>
      <c r="W1805" s="3"/>
      <c r="X1805" s="3"/>
      <c r="Y1805" s="3"/>
    </row>
    <row r="1806" spans="3:25" x14ac:dyDescent="0.2">
      <c r="C1806" s="3"/>
      <c r="E1806" s="3"/>
      <c r="G1806" s="3"/>
      <c r="I1806" s="3"/>
      <c r="K1806" s="3"/>
      <c r="M1806" s="3"/>
      <c r="O1806" s="3"/>
      <c r="Q1806" s="3"/>
      <c r="S1806" s="3"/>
      <c r="U1806" s="3"/>
      <c r="V1806" s="3"/>
      <c r="W1806" s="3"/>
      <c r="X1806" s="3"/>
      <c r="Y1806" s="3"/>
    </row>
    <row r="1807" spans="3:25" x14ac:dyDescent="0.2">
      <c r="C1807" s="3"/>
      <c r="E1807" s="3"/>
      <c r="G1807" s="3"/>
      <c r="I1807" s="3"/>
      <c r="K1807" s="3"/>
      <c r="M1807" s="3"/>
      <c r="O1807" s="3"/>
      <c r="Q1807" s="3"/>
      <c r="S1807" s="3"/>
      <c r="U1807" s="3"/>
      <c r="V1807" s="3"/>
      <c r="W1807" s="3"/>
      <c r="X1807" s="3"/>
      <c r="Y1807" s="3"/>
    </row>
    <row r="1808" spans="3:25" x14ac:dyDescent="0.2">
      <c r="C1808" s="3"/>
      <c r="E1808" s="3"/>
      <c r="G1808" s="3"/>
      <c r="I1808" s="3"/>
      <c r="K1808" s="3"/>
      <c r="M1808" s="3"/>
      <c r="O1808" s="3"/>
      <c r="Q1808" s="3"/>
      <c r="S1808" s="3"/>
      <c r="U1808" s="3"/>
      <c r="V1808" s="3"/>
      <c r="W1808" s="3"/>
      <c r="X1808" s="3"/>
      <c r="Y1808" s="3"/>
    </row>
    <row r="1809" spans="3:25" x14ac:dyDescent="0.2">
      <c r="C1809" s="3"/>
      <c r="E1809" s="3"/>
      <c r="G1809" s="3"/>
      <c r="I1809" s="3"/>
      <c r="K1809" s="3"/>
      <c r="M1809" s="3"/>
      <c r="O1809" s="3"/>
      <c r="Q1809" s="3"/>
      <c r="S1809" s="3"/>
      <c r="U1809" s="3"/>
      <c r="V1809" s="3"/>
      <c r="W1809" s="3"/>
      <c r="X1809" s="3"/>
      <c r="Y1809" s="3"/>
    </row>
    <row r="1810" spans="3:25" x14ac:dyDescent="0.2">
      <c r="C1810" s="3"/>
      <c r="E1810" s="3"/>
      <c r="G1810" s="3"/>
      <c r="I1810" s="3"/>
      <c r="K1810" s="3"/>
      <c r="M1810" s="3"/>
      <c r="O1810" s="3"/>
      <c r="Q1810" s="3"/>
      <c r="S1810" s="3"/>
      <c r="U1810" s="3"/>
      <c r="V1810" s="3"/>
      <c r="W1810" s="3"/>
      <c r="X1810" s="3"/>
      <c r="Y1810" s="3"/>
    </row>
    <row r="1811" spans="3:25" x14ac:dyDescent="0.2">
      <c r="C1811" s="3"/>
      <c r="E1811" s="3"/>
      <c r="G1811" s="3"/>
      <c r="I1811" s="3"/>
      <c r="K1811" s="3"/>
      <c r="M1811" s="3"/>
      <c r="O1811" s="3"/>
      <c r="Q1811" s="3"/>
      <c r="S1811" s="3"/>
      <c r="U1811" s="3"/>
      <c r="V1811" s="3"/>
      <c r="W1811" s="3"/>
      <c r="X1811" s="3"/>
      <c r="Y1811" s="3"/>
    </row>
    <row r="1812" spans="3:25" x14ac:dyDescent="0.2">
      <c r="C1812" s="3"/>
      <c r="E1812" s="3"/>
      <c r="G1812" s="3"/>
      <c r="I1812" s="3"/>
      <c r="K1812" s="3"/>
      <c r="M1812" s="3"/>
      <c r="O1812" s="3"/>
      <c r="Q1812" s="3"/>
      <c r="S1812" s="3"/>
      <c r="U1812" s="3"/>
      <c r="V1812" s="3"/>
      <c r="W1812" s="3"/>
      <c r="X1812" s="3"/>
      <c r="Y1812" s="3"/>
    </row>
    <row r="1813" spans="3:25" x14ac:dyDescent="0.2">
      <c r="C1813" s="3"/>
      <c r="E1813" s="3"/>
      <c r="G1813" s="3"/>
      <c r="I1813" s="3"/>
      <c r="K1813" s="3"/>
      <c r="M1813" s="3"/>
      <c r="O1813" s="3"/>
      <c r="Q1813" s="3"/>
      <c r="S1813" s="3"/>
      <c r="U1813" s="3"/>
      <c r="V1813" s="3"/>
      <c r="W1813" s="3"/>
      <c r="X1813" s="3"/>
      <c r="Y1813" s="3"/>
    </row>
    <row r="1814" spans="3:25" x14ac:dyDescent="0.2">
      <c r="C1814" s="3"/>
      <c r="E1814" s="3"/>
      <c r="G1814" s="3"/>
      <c r="I1814" s="3"/>
      <c r="K1814" s="3"/>
      <c r="M1814" s="3"/>
      <c r="O1814" s="3"/>
      <c r="Q1814" s="3"/>
      <c r="S1814" s="3"/>
      <c r="U1814" s="3"/>
      <c r="V1814" s="3"/>
      <c r="W1814" s="3"/>
      <c r="X1814" s="3"/>
      <c r="Y1814" s="3"/>
    </row>
    <row r="1815" spans="3:25" x14ac:dyDescent="0.2">
      <c r="C1815" s="3"/>
      <c r="E1815" s="3"/>
      <c r="G1815" s="3"/>
      <c r="I1815" s="3"/>
      <c r="K1815" s="3"/>
      <c r="M1815" s="3"/>
      <c r="O1815" s="3"/>
      <c r="Q1815" s="3"/>
      <c r="S1815" s="3"/>
      <c r="U1815" s="3"/>
      <c r="V1815" s="3"/>
      <c r="W1815" s="3"/>
      <c r="X1815" s="3"/>
      <c r="Y1815" s="3"/>
    </row>
    <row r="1816" spans="3:25" x14ac:dyDescent="0.2">
      <c r="C1816" s="3"/>
      <c r="E1816" s="3"/>
      <c r="G1816" s="3"/>
      <c r="I1816" s="3"/>
      <c r="K1816" s="3"/>
      <c r="M1816" s="3"/>
      <c r="O1816" s="3"/>
      <c r="Q1816" s="3"/>
      <c r="S1816" s="3"/>
      <c r="U1816" s="3"/>
      <c r="V1816" s="3"/>
      <c r="W1816" s="3"/>
      <c r="X1816" s="3"/>
      <c r="Y1816" s="3"/>
    </row>
    <row r="1817" spans="3:25" x14ac:dyDescent="0.2">
      <c r="C1817" s="3"/>
      <c r="E1817" s="3"/>
      <c r="G1817" s="3"/>
      <c r="I1817" s="3"/>
      <c r="K1817" s="3"/>
      <c r="M1817" s="3"/>
      <c r="O1817" s="3"/>
      <c r="Q1817" s="3"/>
      <c r="S1817" s="3"/>
      <c r="U1817" s="3"/>
      <c r="V1817" s="3"/>
      <c r="W1817" s="3"/>
      <c r="X1817" s="3"/>
      <c r="Y1817" s="3"/>
    </row>
    <row r="1818" spans="3:25" x14ac:dyDescent="0.2">
      <c r="C1818" s="3"/>
      <c r="E1818" s="3"/>
      <c r="G1818" s="3"/>
      <c r="I1818" s="3"/>
      <c r="K1818" s="3"/>
      <c r="M1818" s="3"/>
      <c r="O1818" s="3"/>
      <c r="Q1818" s="3"/>
      <c r="S1818" s="3"/>
      <c r="U1818" s="3"/>
      <c r="V1818" s="3"/>
      <c r="W1818" s="3"/>
      <c r="X1818" s="3"/>
      <c r="Y1818" s="3"/>
    </row>
    <row r="1819" spans="3:25" x14ac:dyDescent="0.2">
      <c r="C1819" s="3"/>
      <c r="E1819" s="3"/>
      <c r="G1819" s="3"/>
      <c r="I1819" s="3"/>
      <c r="K1819" s="3"/>
      <c r="M1819" s="3"/>
      <c r="O1819" s="3"/>
      <c r="Q1819" s="3"/>
      <c r="S1819" s="3"/>
      <c r="U1819" s="3"/>
      <c r="V1819" s="3"/>
      <c r="W1819" s="3"/>
      <c r="X1819" s="3"/>
      <c r="Y1819" s="3"/>
    </row>
    <row r="1820" spans="3:25" x14ac:dyDescent="0.2">
      <c r="C1820" s="3"/>
      <c r="E1820" s="3"/>
      <c r="G1820" s="3"/>
      <c r="I1820" s="3"/>
      <c r="K1820" s="3"/>
      <c r="M1820" s="3"/>
      <c r="O1820" s="3"/>
      <c r="Q1820" s="3"/>
      <c r="S1820" s="3"/>
      <c r="U1820" s="3"/>
      <c r="V1820" s="3"/>
      <c r="W1820" s="3"/>
      <c r="X1820" s="3"/>
      <c r="Y1820" s="3"/>
    </row>
    <row r="1821" spans="3:25" x14ac:dyDescent="0.2">
      <c r="C1821" s="3"/>
      <c r="E1821" s="3"/>
      <c r="G1821" s="3"/>
      <c r="I1821" s="3"/>
      <c r="K1821" s="3"/>
      <c r="M1821" s="3"/>
      <c r="O1821" s="3"/>
      <c r="Q1821" s="3"/>
      <c r="S1821" s="3"/>
      <c r="U1821" s="3"/>
      <c r="V1821" s="3"/>
      <c r="W1821" s="3"/>
      <c r="X1821" s="3"/>
      <c r="Y1821" s="3"/>
    </row>
    <row r="1822" spans="3:25" x14ac:dyDescent="0.2">
      <c r="C1822" s="3"/>
      <c r="E1822" s="3"/>
      <c r="G1822" s="3"/>
      <c r="I1822" s="3"/>
      <c r="K1822" s="3"/>
      <c r="M1822" s="3"/>
      <c r="O1822" s="3"/>
      <c r="Q1822" s="3"/>
      <c r="S1822" s="3"/>
      <c r="U1822" s="3"/>
      <c r="V1822" s="3"/>
      <c r="W1822" s="3"/>
      <c r="X1822" s="3"/>
      <c r="Y1822" s="3"/>
    </row>
    <row r="1823" spans="3:25" x14ac:dyDescent="0.2">
      <c r="C1823" s="3"/>
      <c r="E1823" s="3"/>
      <c r="G1823" s="3"/>
      <c r="I1823" s="3"/>
      <c r="K1823" s="3"/>
      <c r="M1823" s="3"/>
      <c r="O1823" s="3"/>
      <c r="Q1823" s="3"/>
      <c r="S1823" s="3"/>
      <c r="U1823" s="3"/>
      <c r="V1823" s="3"/>
      <c r="W1823" s="3"/>
      <c r="X1823" s="3"/>
      <c r="Y1823" s="3"/>
    </row>
    <row r="1824" spans="3:25" x14ac:dyDescent="0.2">
      <c r="C1824" s="3"/>
      <c r="E1824" s="3"/>
      <c r="G1824" s="3"/>
      <c r="I1824" s="3"/>
      <c r="K1824" s="3"/>
      <c r="M1824" s="3"/>
      <c r="O1824" s="3"/>
      <c r="Q1824" s="3"/>
      <c r="S1824" s="3"/>
      <c r="U1824" s="3"/>
      <c r="V1824" s="3"/>
      <c r="W1824" s="3"/>
      <c r="X1824" s="3"/>
      <c r="Y1824" s="3"/>
    </row>
    <row r="1825" spans="3:25" x14ac:dyDescent="0.2">
      <c r="C1825" s="3"/>
      <c r="E1825" s="3"/>
      <c r="G1825" s="3"/>
      <c r="I1825" s="3"/>
      <c r="K1825" s="3"/>
      <c r="M1825" s="3"/>
      <c r="O1825" s="3"/>
      <c r="Q1825" s="3"/>
      <c r="S1825" s="3"/>
      <c r="U1825" s="3"/>
      <c r="V1825" s="3"/>
      <c r="W1825" s="3"/>
      <c r="X1825" s="3"/>
      <c r="Y1825" s="3"/>
    </row>
    <row r="1826" spans="3:25" x14ac:dyDescent="0.2">
      <c r="C1826" s="3"/>
      <c r="E1826" s="3"/>
      <c r="G1826" s="3"/>
      <c r="I1826" s="3"/>
      <c r="K1826" s="3"/>
      <c r="M1826" s="3"/>
      <c r="O1826" s="3"/>
      <c r="Q1826" s="3"/>
      <c r="S1826" s="3"/>
      <c r="U1826" s="3"/>
      <c r="V1826" s="3"/>
      <c r="W1826" s="3"/>
      <c r="X1826" s="3"/>
      <c r="Y1826" s="3"/>
    </row>
    <row r="1827" spans="3:25" x14ac:dyDescent="0.2">
      <c r="C1827" s="3"/>
      <c r="E1827" s="3"/>
      <c r="G1827" s="3"/>
      <c r="I1827" s="3"/>
      <c r="K1827" s="3"/>
      <c r="M1827" s="3"/>
      <c r="O1827" s="3"/>
      <c r="Q1827" s="3"/>
      <c r="S1827" s="3"/>
      <c r="U1827" s="3"/>
      <c r="V1827" s="3"/>
      <c r="W1827" s="3"/>
      <c r="X1827" s="3"/>
      <c r="Y1827" s="3"/>
    </row>
    <row r="1828" spans="3:25" x14ac:dyDescent="0.2">
      <c r="C1828" s="3"/>
      <c r="E1828" s="3"/>
      <c r="G1828" s="3"/>
      <c r="I1828" s="3"/>
      <c r="K1828" s="3"/>
      <c r="M1828" s="3"/>
      <c r="O1828" s="3"/>
      <c r="Q1828" s="3"/>
      <c r="S1828" s="3"/>
      <c r="U1828" s="3"/>
      <c r="V1828" s="3"/>
      <c r="W1828" s="3"/>
      <c r="X1828" s="3"/>
      <c r="Y1828" s="3"/>
    </row>
    <row r="1829" spans="3:25" x14ac:dyDescent="0.2">
      <c r="C1829" s="3"/>
      <c r="E1829" s="3"/>
      <c r="G1829" s="3"/>
      <c r="I1829" s="3"/>
      <c r="K1829" s="3"/>
      <c r="M1829" s="3"/>
      <c r="O1829" s="3"/>
      <c r="Q1829" s="3"/>
      <c r="S1829" s="3"/>
      <c r="U1829" s="3"/>
      <c r="V1829" s="3"/>
      <c r="W1829" s="3"/>
      <c r="X1829" s="3"/>
      <c r="Y1829" s="3"/>
    </row>
    <row r="1830" spans="3:25" x14ac:dyDescent="0.2">
      <c r="C1830" s="3"/>
      <c r="E1830" s="3"/>
      <c r="G1830" s="3"/>
      <c r="I1830" s="3"/>
      <c r="K1830" s="3"/>
      <c r="M1830" s="3"/>
      <c r="O1830" s="3"/>
      <c r="Q1830" s="3"/>
      <c r="S1830" s="3"/>
      <c r="U1830" s="3"/>
      <c r="V1830" s="3"/>
      <c r="W1830" s="3"/>
      <c r="X1830" s="3"/>
      <c r="Y1830" s="3"/>
    </row>
    <row r="1831" spans="3:25" x14ac:dyDescent="0.2">
      <c r="C1831" s="3"/>
      <c r="E1831" s="3"/>
      <c r="G1831" s="3"/>
      <c r="I1831" s="3"/>
      <c r="K1831" s="3"/>
      <c r="M1831" s="3"/>
      <c r="O1831" s="3"/>
      <c r="Q1831" s="3"/>
      <c r="S1831" s="3"/>
      <c r="U1831" s="3"/>
      <c r="V1831" s="3"/>
      <c r="W1831" s="3"/>
      <c r="X1831" s="3"/>
      <c r="Y1831" s="3"/>
    </row>
    <row r="1832" spans="3:25" x14ac:dyDescent="0.2">
      <c r="C1832" s="3"/>
      <c r="E1832" s="3"/>
      <c r="G1832" s="3"/>
      <c r="I1832" s="3"/>
      <c r="K1832" s="3"/>
      <c r="M1832" s="3"/>
      <c r="O1832" s="3"/>
      <c r="Q1832" s="3"/>
      <c r="S1832" s="3"/>
      <c r="U1832" s="3"/>
      <c r="V1832" s="3"/>
      <c r="W1832" s="3"/>
      <c r="X1832" s="3"/>
      <c r="Y1832" s="3"/>
    </row>
    <row r="1833" spans="3:25" x14ac:dyDescent="0.2">
      <c r="C1833" s="3"/>
      <c r="E1833" s="3"/>
      <c r="G1833" s="3"/>
      <c r="I1833" s="3"/>
      <c r="K1833" s="3"/>
      <c r="M1833" s="3"/>
      <c r="O1833" s="3"/>
      <c r="Q1833" s="3"/>
      <c r="S1833" s="3"/>
      <c r="U1833" s="3"/>
      <c r="V1833" s="3"/>
      <c r="W1833" s="3"/>
      <c r="X1833" s="3"/>
      <c r="Y1833" s="3"/>
    </row>
    <row r="1834" spans="3:25" x14ac:dyDescent="0.2">
      <c r="C1834" s="3"/>
      <c r="E1834" s="3"/>
      <c r="G1834" s="3"/>
      <c r="I1834" s="3"/>
      <c r="K1834" s="3"/>
      <c r="M1834" s="3"/>
      <c r="O1834" s="3"/>
      <c r="Q1834" s="3"/>
      <c r="S1834" s="3"/>
      <c r="U1834" s="3"/>
      <c r="V1834" s="3"/>
      <c r="W1834" s="3"/>
      <c r="X1834" s="3"/>
      <c r="Y1834" s="3"/>
    </row>
    <row r="1835" spans="3:25" x14ac:dyDescent="0.2">
      <c r="C1835" s="3"/>
      <c r="E1835" s="3"/>
      <c r="G1835" s="3"/>
      <c r="I1835" s="3"/>
      <c r="K1835" s="3"/>
      <c r="M1835" s="3"/>
      <c r="O1835" s="3"/>
      <c r="Q1835" s="3"/>
      <c r="S1835" s="3"/>
      <c r="U1835" s="3"/>
      <c r="V1835" s="3"/>
      <c r="W1835" s="3"/>
      <c r="X1835" s="3"/>
      <c r="Y1835" s="3"/>
    </row>
    <row r="1836" spans="3:25" x14ac:dyDescent="0.2">
      <c r="C1836" s="3"/>
      <c r="E1836" s="3"/>
      <c r="G1836" s="3"/>
      <c r="I1836" s="3"/>
      <c r="K1836" s="3"/>
      <c r="M1836" s="3"/>
      <c r="O1836" s="3"/>
      <c r="Q1836" s="3"/>
      <c r="S1836" s="3"/>
      <c r="U1836" s="3"/>
      <c r="V1836" s="3"/>
      <c r="W1836" s="3"/>
      <c r="X1836" s="3"/>
      <c r="Y1836" s="3"/>
    </row>
    <row r="1837" spans="3:25" x14ac:dyDescent="0.2">
      <c r="C1837" s="3"/>
      <c r="E1837" s="3"/>
      <c r="G1837" s="3"/>
      <c r="I1837" s="3"/>
      <c r="K1837" s="3"/>
      <c r="M1837" s="3"/>
      <c r="O1837" s="3"/>
      <c r="Q1837" s="3"/>
      <c r="S1837" s="3"/>
      <c r="U1837" s="3"/>
      <c r="V1837" s="3"/>
      <c r="W1837" s="3"/>
      <c r="X1837" s="3"/>
      <c r="Y1837" s="3"/>
    </row>
    <row r="1838" spans="3:25" x14ac:dyDescent="0.2">
      <c r="C1838" s="3"/>
      <c r="E1838" s="3"/>
      <c r="G1838" s="3"/>
      <c r="I1838" s="3"/>
      <c r="K1838" s="3"/>
      <c r="M1838" s="3"/>
      <c r="O1838" s="3"/>
      <c r="Q1838" s="3"/>
      <c r="S1838" s="3"/>
      <c r="U1838" s="3"/>
      <c r="V1838" s="3"/>
      <c r="W1838" s="3"/>
      <c r="X1838" s="3"/>
      <c r="Y1838" s="3"/>
    </row>
    <row r="1839" spans="3:25" x14ac:dyDescent="0.2">
      <c r="C1839" s="3"/>
      <c r="E1839" s="3"/>
      <c r="G1839" s="3"/>
      <c r="I1839" s="3"/>
      <c r="K1839" s="3"/>
      <c r="M1839" s="3"/>
      <c r="O1839" s="3"/>
      <c r="Q1839" s="3"/>
      <c r="S1839" s="3"/>
      <c r="U1839" s="3"/>
      <c r="V1839" s="3"/>
      <c r="W1839" s="3"/>
      <c r="X1839" s="3"/>
      <c r="Y1839" s="3"/>
    </row>
    <row r="1840" spans="3:25" x14ac:dyDescent="0.2">
      <c r="C1840" s="3"/>
      <c r="E1840" s="3"/>
      <c r="G1840" s="3"/>
      <c r="I1840" s="3"/>
      <c r="K1840" s="3"/>
      <c r="M1840" s="3"/>
      <c r="O1840" s="3"/>
      <c r="Q1840" s="3"/>
      <c r="S1840" s="3"/>
      <c r="U1840" s="3"/>
      <c r="V1840" s="3"/>
      <c r="W1840" s="3"/>
      <c r="X1840" s="3"/>
      <c r="Y1840" s="3"/>
    </row>
    <row r="1841" spans="3:25" x14ac:dyDescent="0.2">
      <c r="C1841" s="3"/>
      <c r="E1841" s="3"/>
      <c r="G1841" s="3"/>
      <c r="I1841" s="3"/>
      <c r="K1841" s="3"/>
      <c r="M1841" s="3"/>
      <c r="O1841" s="3"/>
      <c r="Q1841" s="3"/>
      <c r="S1841" s="3"/>
      <c r="U1841" s="3"/>
      <c r="V1841" s="3"/>
      <c r="W1841" s="3"/>
      <c r="X1841" s="3"/>
      <c r="Y1841" s="3"/>
    </row>
    <row r="1842" spans="3:25" x14ac:dyDescent="0.2">
      <c r="C1842" s="3"/>
      <c r="E1842" s="3"/>
      <c r="G1842" s="3"/>
      <c r="I1842" s="3"/>
      <c r="K1842" s="3"/>
      <c r="M1842" s="3"/>
      <c r="O1842" s="3"/>
      <c r="Q1842" s="3"/>
      <c r="S1842" s="3"/>
      <c r="U1842" s="3"/>
      <c r="V1842" s="3"/>
      <c r="W1842" s="3"/>
      <c r="X1842" s="3"/>
      <c r="Y1842" s="3"/>
    </row>
    <row r="1843" spans="3:25" x14ac:dyDescent="0.2">
      <c r="C1843" s="3"/>
      <c r="E1843" s="3"/>
      <c r="G1843" s="3"/>
      <c r="I1843" s="3"/>
      <c r="K1843" s="3"/>
      <c r="M1843" s="3"/>
      <c r="O1843" s="3"/>
      <c r="Q1843" s="3"/>
      <c r="S1843" s="3"/>
      <c r="U1843" s="3"/>
      <c r="V1843" s="3"/>
      <c r="W1843" s="3"/>
      <c r="X1843" s="3"/>
      <c r="Y1843" s="3"/>
    </row>
    <row r="1844" spans="3:25" x14ac:dyDescent="0.2">
      <c r="C1844" s="3"/>
      <c r="E1844" s="3"/>
      <c r="G1844" s="3"/>
      <c r="I1844" s="3"/>
      <c r="K1844" s="3"/>
      <c r="M1844" s="3"/>
      <c r="O1844" s="3"/>
      <c r="Q1844" s="3"/>
      <c r="S1844" s="3"/>
      <c r="U1844" s="3"/>
      <c r="V1844" s="3"/>
      <c r="W1844" s="3"/>
      <c r="X1844" s="3"/>
      <c r="Y1844" s="3"/>
    </row>
    <row r="1845" spans="3:25" x14ac:dyDescent="0.2">
      <c r="C1845" s="3"/>
      <c r="E1845" s="3"/>
      <c r="G1845" s="3"/>
      <c r="I1845" s="3"/>
      <c r="K1845" s="3"/>
      <c r="M1845" s="3"/>
      <c r="O1845" s="3"/>
      <c r="Q1845" s="3"/>
      <c r="S1845" s="3"/>
      <c r="U1845" s="3"/>
      <c r="V1845" s="3"/>
      <c r="W1845" s="3"/>
      <c r="X1845" s="3"/>
      <c r="Y1845" s="3"/>
    </row>
    <row r="1846" spans="3:25" x14ac:dyDescent="0.2">
      <c r="C1846" s="3"/>
      <c r="E1846" s="3"/>
      <c r="G1846" s="3"/>
      <c r="I1846" s="3"/>
      <c r="K1846" s="3"/>
      <c r="M1846" s="3"/>
      <c r="O1846" s="3"/>
      <c r="Q1846" s="3"/>
      <c r="S1846" s="3"/>
      <c r="U1846" s="3"/>
      <c r="V1846" s="3"/>
      <c r="W1846" s="3"/>
      <c r="X1846" s="3"/>
      <c r="Y1846" s="3"/>
    </row>
    <row r="1847" spans="3:25" x14ac:dyDescent="0.2">
      <c r="C1847" s="3"/>
      <c r="E1847" s="3"/>
      <c r="G1847" s="3"/>
      <c r="I1847" s="3"/>
      <c r="K1847" s="3"/>
      <c r="M1847" s="3"/>
      <c r="O1847" s="3"/>
      <c r="Q1847" s="3"/>
      <c r="S1847" s="3"/>
      <c r="U1847" s="3"/>
      <c r="V1847" s="3"/>
      <c r="W1847" s="3"/>
      <c r="X1847" s="3"/>
      <c r="Y1847" s="3"/>
    </row>
    <row r="1848" spans="3:25" x14ac:dyDescent="0.2">
      <c r="C1848" s="3"/>
      <c r="E1848" s="3"/>
      <c r="G1848" s="3"/>
      <c r="I1848" s="3"/>
      <c r="K1848" s="3"/>
      <c r="M1848" s="3"/>
      <c r="O1848" s="3"/>
      <c r="Q1848" s="3"/>
      <c r="S1848" s="3"/>
      <c r="U1848" s="3"/>
      <c r="V1848" s="3"/>
      <c r="W1848" s="3"/>
      <c r="X1848" s="3"/>
      <c r="Y1848" s="3"/>
    </row>
    <row r="1849" spans="3:25" x14ac:dyDescent="0.2">
      <c r="C1849" s="3"/>
      <c r="E1849" s="3"/>
      <c r="G1849" s="3"/>
      <c r="I1849" s="3"/>
      <c r="K1849" s="3"/>
      <c r="M1849" s="3"/>
      <c r="O1849" s="3"/>
      <c r="Q1849" s="3"/>
      <c r="S1849" s="3"/>
      <c r="U1849" s="3"/>
      <c r="V1849" s="3"/>
      <c r="W1849" s="3"/>
      <c r="X1849" s="3"/>
      <c r="Y1849" s="3"/>
    </row>
    <row r="1850" spans="3:25" x14ac:dyDescent="0.2">
      <c r="C1850" s="3"/>
      <c r="E1850" s="3"/>
      <c r="G1850" s="3"/>
      <c r="I1850" s="3"/>
      <c r="K1850" s="3"/>
      <c r="M1850" s="3"/>
      <c r="O1850" s="3"/>
      <c r="Q1850" s="3"/>
      <c r="S1850" s="3"/>
      <c r="U1850" s="3"/>
      <c r="V1850" s="3"/>
      <c r="W1850" s="3"/>
      <c r="X1850" s="3"/>
      <c r="Y1850" s="3"/>
    </row>
    <row r="1851" spans="3:25" x14ac:dyDescent="0.2">
      <c r="C1851" s="3"/>
      <c r="E1851" s="3"/>
      <c r="G1851" s="3"/>
      <c r="I1851" s="3"/>
      <c r="K1851" s="3"/>
      <c r="M1851" s="3"/>
      <c r="O1851" s="3"/>
      <c r="Q1851" s="3"/>
      <c r="S1851" s="3"/>
      <c r="U1851" s="3"/>
      <c r="V1851" s="3"/>
      <c r="W1851" s="3"/>
      <c r="X1851" s="3"/>
      <c r="Y1851" s="3"/>
    </row>
    <row r="1852" spans="3:25" x14ac:dyDescent="0.2">
      <c r="C1852" s="3"/>
      <c r="E1852" s="3"/>
      <c r="G1852" s="3"/>
      <c r="I1852" s="3"/>
      <c r="K1852" s="3"/>
      <c r="M1852" s="3"/>
      <c r="O1852" s="3"/>
      <c r="Q1852" s="3"/>
      <c r="S1852" s="3"/>
      <c r="U1852" s="3"/>
      <c r="V1852" s="3"/>
      <c r="W1852" s="3"/>
      <c r="X1852" s="3"/>
      <c r="Y1852" s="3"/>
    </row>
    <row r="1853" spans="3:25" x14ac:dyDescent="0.2">
      <c r="C1853" s="3"/>
      <c r="E1853" s="3"/>
      <c r="G1853" s="3"/>
      <c r="I1853" s="3"/>
      <c r="K1853" s="3"/>
      <c r="M1853" s="3"/>
      <c r="O1853" s="3"/>
      <c r="Q1853" s="3"/>
      <c r="S1853" s="3"/>
      <c r="U1853" s="3"/>
      <c r="V1853" s="3"/>
      <c r="W1853" s="3"/>
      <c r="X1853" s="3"/>
      <c r="Y1853" s="3"/>
    </row>
    <row r="1854" spans="3:25" x14ac:dyDescent="0.2">
      <c r="C1854" s="3"/>
      <c r="E1854" s="3"/>
      <c r="G1854" s="3"/>
      <c r="I1854" s="3"/>
      <c r="K1854" s="3"/>
      <c r="M1854" s="3"/>
      <c r="O1854" s="3"/>
      <c r="Q1854" s="3"/>
      <c r="S1854" s="3"/>
      <c r="U1854" s="3"/>
      <c r="V1854" s="3"/>
      <c r="W1854" s="3"/>
      <c r="X1854" s="3"/>
      <c r="Y1854" s="3"/>
    </row>
    <row r="1855" spans="3:25" x14ac:dyDescent="0.2">
      <c r="C1855" s="3"/>
      <c r="E1855" s="3"/>
      <c r="G1855" s="3"/>
      <c r="I1855" s="3"/>
      <c r="K1855" s="3"/>
      <c r="M1855" s="3"/>
      <c r="O1855" s="3"/>
      <c r="Q1855" s="3"/>
      <c r="S1855" s="3"/>
      <c r="U1855" s="3"/>
      <c r="V1855" s="3"/>
      <c r="W1855" s="3"/>
      <c r="X1855" s="3"/>
      <c r="Y1855" s="3"/>
    </row>
    <row r="1856" spans="3:25" x14ac:dyDescent="0.2">
      <c r="C1856" s="3"/>
      <c r="E1856" s="3"/>
      <c r="G1856" s="3"/>
      <c r="I1856" s="3"/>
      <c r="K1856" s="3"/>
      <c r="M1856" s="3"/>
      <c r="O1856" s="3"/>
      <c r="Q1856" s="3"/>
      <c r="S1856" s="3"/>
      <c r="U1856" s="3"/>
      <c r="V1856" s="3"/>
      <c r="W1856" s="3"/>
      <c r="X1856" s="3"/>
      <c r="Y1856" s="3"/>
    </row>
    <row r="1857" spans="3:25" x14ac:dyDescent="0.2">
      <c r="C1857" s="3"/>
      <c r="E1857" s="3"/>
      <c r="G1857" s="3"/>
      <c r="I1857" s="3"/>
      <c r="K1857" s="3"/>
      <c r="M1857" s="3"/>
      <c r="O1857" s="3"/>
      <c r="Q1857" s="3"/>
      <c r="S1857" s="3"/>
      <c r="U1857" s="3"/>
      <c r="V1857" s="3"/>
      <c r="W1857" s="3"/>
      <c r="X1857" s="3"/>
      <c r="Y1857" s="3"/>
    </row>
    <row r="1858" spans="3:25" x14ac:dyDescent="0.2">
      <c r="C1858" s="3"/>
      <c r="E1858" s="3"/>
      <c r="G1858" s="3"/>
      <c r="I1858" s="3"/>
      <c r="K1858" s="3"/>
      <c r="M1858" s="3"/>
      <c r="O1858" s="3"/>
      <c r="Q1858" s="3"/>
      <c r="S1858" s="3"/>
      <c r="U1858" s="3"/>
      <c r="V1858" s="3"/>
      <c r="W1858" s="3"/>
      <c r="X1858" s="3"/>
      <c r="Y1858" s="3"/>
    </row>
    <row r="1859" spans="3:25" x14ac:dyDescent="0.2">
      <c r="C1859" s="3"/>
      <c r="E1859" s="3"/>
      <c r="G1859" s="3"/>
      <c r="I1859" s="3"/>
      <c r="K1859" s="3"/>
      <c r="M1859" s="3"/>
      <c r="O1859" s="3"/>
      <c r="Q1859" s="3"/>
      <c r="S1859" s="3"/>
      <c r="U1859" s="3"/>
      <c r="V1859" s="3"/>
      <c r="W1859" s="3"/>
      <c r="X1859" s="3"/>
      <c r="Y1859" s="3"/>
    </row>
    <row r="1860" spans="3:25" x14ac:dyDescent="0.2">
      <c r="C1860" s="3"/>
      <c r="E1860" s="3"/>
      <c r="G1860" s="3"/>
      <c r="I1860" s="3"/>
      <c r="K1860" s="3"/>
      <c r="M1860" s="3"/>
      <c r="O1860" s="3"/>
      <c r="Q1860" s="3"/>
      <c r="S1860" s="3"/>
      <c r="U1860" s="3"/>
      <c r="V1860" s="3"/>
      <c r="W1860" s="3"/>
      <c r="X1860" s="3"/>
      <c r="Y1860" s="3"/>
    </row>
    <row r="1861" spans="3:25" x14ac:dyDescent="0.2">
      <c r="C1861" s="3"/>
      <c r="E1861" s="3"/>
      <c r="G1861" s="3"/>
      <c r="I1861" s="3"/>
      <c r="K1861" s="3"/>
      <c r="M1861" s="3"/>
      <c r="O1861" s="3"/>
      <c r="Q1861" s="3"/>
      <c r="S1861" s="3"/>
      <c r="U1861" s="3"/>
      <c r="V1861" s="3"/>
      <c r="W1861" s="3"/>
      <c r="X1861" s="3"/>
      <c r="Y1861" s="3"/>
    </row>
    <row r="1862" spans="3:25" x14ac:dyDescent="0.2">
      <c r="C1862" s="3"/>
      <c r="E1862" s="3"/>
      <c r="G1862" s="3"/>
      <c r="I1862" s="3"/>
      <c r="K1862" s="3"/>
      <c r="M1862" s="3"/>
      <c r="O1862" s="3"/>
      <c r="Q1862" s="3"/>
      <c r="S1862" s="3"/>
      <c r="U1862" s="3"/>
      <c r="V1862" s="3"/>
      <c r="W1862" s="3"/>
      <c r="X1862" s="3"/>
      <c r="Y1862" s="3"/>
    </row>
    <row r="1863" spans="3:25" x14ac:dyDescent="0.2">
      <c r="C1863" s="3"/>
      <c r="E1863" s="3"/>
      <c r="G1863" s="3"/>
      <c r="I1863" s="3"/>
      <c r="K1863" s="3"/>
      <c r="M1863" s="3"/>
      <c r="O1863" s="3"/>
      <c r="Q1863" s="3"/>
      <c r="S1863" s="3"/>
      <c r="U1863" s="3"/>
      <c r="V1863" s="3"/>
      <c r="W1863" s="3"/>
      <c r="X1863" s="3"/>
      <c r="Y1863" s="3"/>
    </row>
    <row r="1864" spans="3:25" x14ac:dyDescent="0.2">
      <c r="C1864" s="3"/>
      <c r="E1864" s="3"/>
      <c r="G1864" s="3"/>
      <c r="I1864" s="3"/>
      <c r="K1864" s="3"/>
      <c r="M1864" s="3"/>
      <c r="O1864" s="3"/>
      <c r="Q1864" s="3"/>
      <c r="S1864" s="3"/>
      <c r="U1864" s="3"/>
      <c r="V1864" s="3"/>
      <c r="W1864" s="3"/>
      <c r="X1864" s="3"/>
      <c r="Y1864" s="3"/>
    </row>
    <row r="1865" spans="3:25" x14ac:dyDescent="0.2">
      <c r="C1865" s="3"/>
      <c r="E1865" s="3"/>
      <c r="G1865" s="3"/>
      <c r="I1865" s="3"/>
      <c r="K1865" s="3"/>
      <c r="M1865" s="3"/>
      <c r="O1865" s="3"/>
      <c r="Q1865" s="3"/>
      <c r="S1865" s="3"/>
      <c r="U1865" s="3"/>
      <c r="V1865" s="3"/>
      <c r="W1865" s="3"/>
      <c r="X1865" s="3"/>
      <c r="Y1865" s="3"/>
    </row>
    <row r="1866" spans="3:25" x14ac:dyDescent="0.2">
      <c r="C1866" s="3"/>
      <c r="E1866" s="3"/>
      <c r="G1866" s="3"/>
      <c r="I1866" s="3"/>
      <c r="K1866" s="3"/>
      <c r="M1866" s="3"/>
      <c r="O1866" s="3"/>
      <c r="Q1866" s="3"/>
      <c r="S1866" s="3"/>
      <c r="U1866" s="3"/>
      <c r="V1866" s="3"/>
      <c r="W1866" s="3"/>
      <c r="X1866" s="3"/>
      <c r="Y1866" s="3"/>
    </row>
    <row r="1867" spans="3:25" x14ac:dyDescent="0.2">
      <c r="C1867" s="3"/>
      <c r="E1867" s="3"/>
      <c r="G1867" s="3"/>
      <c r="I1867" s="3"/>
      <c r="K1867" s="3"/>
      <c r="M1867" s="3"/>
      <c r="O1867" s="3"/>
      <c r="Q1867" s="3"/>
      <c r="S1867" s="3"/>
      <c r="U1867" s="3"/>
      <c r="V1867" s="3"/>
      <c r="W1867" s="3"/>
      <c r="X1867" s="3"/>
      <c r="Y1867" s="3"/>
    </row>
    <row r="1868" spans="3:25" x14ac:dyDescent="0.2">
      <c r="C1868" s="3"/>
      <c r="E1868" s="3"/>
      <c r="G1868" s="3"/>
      <c r="I1868" s="3"/>
      <c r="K1868" s="3"/>
      <c r="M1868" s="3"/>
      <c r="O1868" s="3"/>
      <c r="Q1868" s="3"/>
      <c r="S1868" s="3"/>
      <c r="U1868" s="3"/>
      <c r="V1868" s="3"/>
      <c r="W1868" s="3"/>
      <c r="X1868" s="3"/>
      <c r="Y1868" s="3"/>
    </row>
    <row r="1869" spans="3:25" x14ac:dyDescent="0.2">
      <c r="C1869" s="3"/>
      <c r="E1869" s="3"/>
      <c r="G1869" s="3"/>
      <c r="I1869" s="3"/>
      <c r="K1869" s="3"/>
      <c r="M1869" s="3"/>
      <c r="O1869" s="3"/>
      <c r="Q1869" s="3"/>
      <c r="S1869" s="3"/>
      <c r="U1869" s="3"/>
      <c r="V1869" s="3"/>
      <c r="W1869" s="3"/>
      <c r="X1869" s="3"/>
      <c r="Y1869" s="3"/>
    </row>
    <row r="1870" spans="3:25" x14ac:dyDescent="0.2">
      <c r="C1870" s="3"/>
      <c r="E1870" s="3"/>
      <c r="G1870" s="3"/>
      <c r="I1870" s="3"/>
      <c r="K1870" s="3"/>
      <c r="M1870" s="3"/>
      <c r="O1870" s="3"/>
      <c r="Q1870" s="3"/>
      <c r="S1870" s="3"/>
      <c r="U1870" s="3"/>
      <c r="V1870" s="3"/>
      <c r="W1870" s="3"/>
      <c r="X1870" s="3"/>
      <c r="Y1870" s="3"/>
    </row>
    <row r="1871" spans="3:25" x14ac:dyDescent="0.2">
      <c r="C1871" s="3"/>
      <c r="E1871" s="3"/>
      <c r="G1871" s="3"/>
      <c r="I1871" s="3"/>
      <c r="K1871" s="3"/>
      <c r="M1871" s="3"/>
      <c r="O1871" s="3"/>
      <c r="Q1871" s="3"/>
      <c r="S1871" s="3"/>
      <c r="U1871" s="3"/>
      <c r="V1871" s="3"/>
      <c r="W1871" s="3"/>
      <c r="X1871" s="3"/>
      <c r="Y1871" s="3"/>
    </row>
    <row r="1872" spans="3:25" x14ac:dyDescent="0.2">
      <c r="C1872" s="3"/>
      <c r="E1872" s="3"/>
      <c r="G1872" s="3"/>
      <c r="I1872" s="3"/>
      <c r="K1872" s="3"/>
      <c r="M1872" s="3"/>
      <c r="O1872" s="3"/>
      <c r="Q1872" s="3"/>
      <c r="S1872" s="3"/>
      <c r="U1872" s="3"/>
      <c r="V1872" s="3"/>
      <c r="W1872" s="3"/>
      <c r="X1872" s="3"/>
      <c r="Y1872" s="3"/>
    </row>
    <row r="1873" spans="3:25" x14ac:dyDescent="0.2">
      <c r="C1873" s="3"/>
      <c r="E1873" s="3"/>
      <c r="G1873" s="3"/>
      <c r="I1873" s="3"/>
      <c r="K1873" s="3"/>
      <c r="M1873" s="3"/>
      <c r="O1873" s="3"/>
      <c r="Q1873" s="3"/>
      <c r="S1873" s="3"/>
      <c r="U1873" s="3"/>
      <c r="V1873" s="3"/>
      <c r="W1873" s="3"/>
      <c r="X1873" s="3"/>
      <c r="Y1873" s="3"/>
    </row>
    <row r="1874" spans="3:25" x14ac:dyDescent="0.2">
      <c r="C1874" s="3"/>
      <c r="E1874" s="3"/>
      <c r="G1874" s="3"/>
      <c r="I1874" s="3"/>
      <c r="K1874" s="3"/>
      <c r="M1874" s="3"/>
      <c r="O1874" s="3"/>
      <c r="Q1874" s="3"/>
      <c r="S1874" s="3"/>
      <c r="U1874" s="3"/>
      <c r="V1874" s="3"/>
      <c r="W1874" s="3"/>
      <c r="X1874" s="3"/>
      <c r="Y1874" s="3"/>
    </row>
    <row r="1875" spans="3:25" x14ac:dyDescent="0.2">
      <c r="C1875" s="3"/>
      <c r="E1875" s="3"/>
      <c r="G1875" s="3"/>
      <c r="I1875" s="3"/>
      <c r="K1875" s="3"/>
      <c r="M1875" s="3"/>
      <c r="O1875" s="3"/>
      <c r="Q1875" s="3"/>
      <c r="S1875" s="3"/>
      <c r="U1875" s="3"/>
      <c r="V1875" s="3"/>
      <c r="W1875" s="3"/>
      <c r="X1875" s="3"/>
      <c r="Y1875" s="3"/>
    </row>
    <row r="1876" spans="3:25" x14ac:dyDescent="0.2">
      <c r="C1876" s="3"/>
      <c r="E1876" s="3"/>
      <c r="G1876" s="3"/>
      <c r="I1876" s="3"/>
      <c r="K1876" s="3"/>
      <c r="M1876" s="3"/>
      <c r="O1876" s="3"/>
      <c r="Q1876" s="3"/>
      <c r="S1876" s="3"/>
      <c r="U1876" s="3"/>
      <c r="V1876" s="3"/>
      <c r="W1876" s="3"/>
      <c r="X1876" s="3"/>
      <c r="Y1876" s="3"/>
    </row>
    <row r="1877" spans="3:25" x14ac:dyDescent="0.2">
      <c r="C1877" s="3"/>
      <c r="E1877" s="3"/>
      <c r="G1877" s="3"/>
      <c r="I1877" s="3"/>
      <c r="K1877" s="3"/>
      <c r="M1877" s="3"/>
      <c r="O1877" s="3"/>
      <c r="Q1877" s="3"/>
      <c r="S1877" s="3"/>
      <c r="U1877" s="3"/>
      <c r="V1877" s="3"/>
      <c r="W1877" s="3"/>
      <c r="X1877" s="3"/>
      <c r="Y1877" s="3"/>
    </row>
    <row r="1878" spans="3:25" x14ac:dyDescent="0.2">
      <c r="C1878" s="3"/>
      <c r="E1878" s="3"/>
      <c r="G1878" s="3"/>
      <c r="I1878" s="3"/>
      <c r="K1878" s="3"/>
      <c r="M1878" s="3"/>
      <c r="O1878" s="3"/>
      <c r="Q1878" s="3"/>
      <c r="S1878" s="3"/>
      <c r="U1878" s="3"/>
      <c r="V1878" s="3"/>
      <c r="W1878" s="3"/>
      <c r="X1878" s="3"/>
      <c r="Y1878" s="3"/>
    </row>
    <row r="1879" spans="3:25" x14ac:dyDescent="0.2">
      <c r="C1879" s="3"/>
      <c r="E1879" s="3"/>
      <c r="G1879" s="3"/>
      <c r="I1879" s="3"/>
      <c r="K1879" s="3"/>
      <c r="M1879" s="3"/>
      <c r="O1879" s="3"/>
      <c r="Q1879" s="3"/>
      <c r="S1879" s="3"/>
      <c r="U1879" s="3"/>
      <c r="V1879" s="3"/>
      <c r="W1879" s="3"/>
      <c r="X1879" s="3"/>
      <c r="Y1879" s="3"/>
    </row>
    <row r="1880" spans="3:25" x14ac:dyDescent="0.2">
      <c r="C1880" s="3"/>
      <c r="E1880" s="3"/>
      <c r="G1880" s="3"/>
      <c r="I1880" s="3"/>
      <c r="K1880" s="3"/>
      <c r="M1880" s="3"/>
      <c r="O1880" s="3"/>
      <c r="Q1880" s="3"/>
      <c r="S1880" s="3"/>
      <c r="U1880" s="3"/>
      <c r="V1880" s="3"/>
      <c r="W1880" s="3"/>
      <c r="X1880" s="3"/>
      <c r="Y1880" s="3"/>
    </row>
    <row r="1881" spans="3:25" x14ac:dyDescent="0.2">
      <c r="C1881" s="3"/>
      <c r="E1881" s="3"/>
      <c r="G1881" s="3"/>
      <c r="I1881" s="3"/>
      <c r="K1881" s="3"/>
      <c r="M1881" s="3"/>
      <c r="O1881" s="3"/>
      <c r="Q1881" s="3"/>
      <c r="S1881" s="3"/>
      <c r="U1881" s="3"/>
      <c r="V1881" s="3"/>
      <c r="W1881" s="3"/>
      <c r="X1881" s="3"/>
      <c r="Y1881" s="3"/>
    </row>
    <row r="1882" spans="3:25" x14ac:dyDescent="0.2">
      <c r="C1882" s="3"/>
      <c r="E1882" s="3"/>
      <c r="G1882" s="3"/>
      <c r="I1882" s="3"/>
      <c r="K1882" s="3"/>
      <c r="M1882" s="3"/>
      <c r="O1882" s="3"/>
      <c r="Q1882" s="3"/>
      <c r="S1882" s="3"/>
      <c r="U1882" s="3"/>
      <c r="V1882" s="3"/>
      <c r="W1882" s="3"/>
      <c r="X1882" s="3"/>
      <c r="Y1882" s="3"/>
    </row>
    <row r="1883" spans="3:25" x14ac:dyDescent="0.2">
      <c r="C1883" s="3"/>
      <c r="E1883" s="3"/>
      <c r="G1883" s="3"/>
      <c r="I1883" s="3"/>
      <c r="K1883" s="3"/>
      <c r="M1883" s="3"/>
      <c r="O1883" s="3"/>
      <c r="Q1883" s="3"/>
      <c r="S1883" s="3"/>
      <c r="U1883" s="3"/>
      <c r="V1883" s="3"/>
      <c r="W1883" s="3"/>
      <c r="X1883" s="3"/>
      <c r="Y1883" s="3"/>
    </row>
    <row r="1884" spans="3:25" x14ac:dyDescent="0.2">
      <c r="C1884" s="3"/>
      <c r="E1884" s="3"/>
      <c r="G1884" s="3"/>
      <c r="I1884" s="3"/>
      <c r="K1884" s="3"/>
      <c r="M1884" s="3"/>
      <c r="O1884" s="3"/>
      <c r="Q1884" s="3"/>
      <c r="S1884" s="3"/>
      <c r="U1884" s="3"/>
      <c r="V1884" s="3"/>
      <c r="W1884" s="3"/>
      <c r="X1884" s="3"/>
      <c r="Y1884" s="3"/>
    </row>
    <row r="1885" spans="3:25" x14ac:dyDescent="0.2">
      <c r="C1885" s="3"/>
      <c r="E1885" s="3"/>
      <c r="G1885" s="3"/>
      <c r="I1885" s="3"/>
      <c r="K1885" s="3"/>
      <c r="M1885" s="3"/>
      <c r="O1885" s="3"/>
      <c r="Q1885" s="3"/>
      <c r="S1885" s="3"/>
      <c r="U1885" s="3"/>
      <c r="V1885" s="3"/>
      <c r="W1885" s="3"/>
      <c r="X1885" s="3"/>
      <c r="Y1885" s="3"/>
    </row>
    <row r="1886" spans="3:25" x14ac:dyDescent="0.2">
      <c r="C1886" s="3"/>
      <c r="E1886" s="3"/>
      <c r="G1886" s="3"/>
      <c r="I1886" s="3"/>
      <c r="K1886" s="3"/>
      <c r="M1886" s="3"/>
      <c r="O1886" s="3"/>
      <c r="Q1886" s="3"/>
      <c r="S1886" s="3"/>
      <c r="U1886" s="3"/>
      <c r="V1886" s="3"/>
      <c r="W1886" s="3"/>
      <c r="X1886" s="3"/>
      <c r="Y1886" s="3"/>
    </row>
    <row r="1887" spans="3:25" x14ac:dyDescent="0.2">
      <c r="C1887" s="3"/>
      <c r="E1887" s="3"/>
      <c r="G1887" s="3"/>
      <c r="I1887" s="3"/>
      <c r="K1887" s="3"/>
      <c r="M1887" s="3"/>
      <c r="O1887" s="3"/>
      <c r="Q1887" s="3"/>
      <c r="S1887" s="3"/>
      <c r="U1887" s="3"/>
      <c r="V1887" s="3"/>
      <c r="W1887" s="3"/>
      <c r="X1887" s="3"/>
      <c r="Y1887" s="3"/>
    </row>
    <row r="1888" spans="3:25" x14ac:dyDescent="0.2">
      <c r="C1888" s="3"/>
      <c r="E1888" s="3"/>
      <c r="G1888" s="3"/>
      <c r="I1888" s="3"/>
      <c r="K1888" s="3"/>
      <c r="M1888" s="3"/>
      <c r="O1888" s="3"/>
      <c r="Q1888" s="3"/>
      <c r="S1888" s="3"/>
      <c r="U1888" s="3"/>
      <c r="V1888" s="3"/>
      <c r="W1888" s="3"/>
      <c r="X1888" s="3"/>
      <c r="Y1888" s="3"/>
    </row>
    <row r="1889" spans="3:25" x14ac:dyDescent="0.2">
      <c r="C1889" s="3"/>
      <c r="E1889" s="3"/>
      <c r="G1889" s="3"/>
      <c r="I1889" s="3"/>
      <c r="K1889" s="3"/>
      <c r="M1889" s="3"/>
      <c r="O1889" s="3"/>
      <c r="Q1889" s="3"/>
      <c r="S1889" s="3"/>
      <c r="U1889" s="3"/>
      <c r="V1889" s="3"/>
      <c r="W1889" s="3"/>
      <c r="X1889" s="3"/>
      <c r="Y1889" s="3"/>
    </row>
    <row r="1890" spans="3:25" x14ac:dyDescent="0.2">
      <c r="C1890" s="3"/>
      <c r="E1890" s="3"/>
      <c r="G1890" s="3"/>
      <c r="I1890" s="3"/>
      <c r="K1890" s="3"/>
      <c r="M1890" s="3"/>
      <c r="O1890" s="3"/>
      <c r="Q1890" s="3"/>
      <c r="S1890" s="3"/>
      <c r="U1890" s="3"/>
      <c r="V1890" s="3"/>
      <c r="W1890" s="3"/>
      <c r="X1890" s="3"/>
      <c r="Y1890" s="3"/>
    </row>
    <row r="1891" spans="3:25" x14ac:dyDescent="0.2">
      <c r="C1891" s="3"/>
      <c r="E1891" s="3"/>
      <c r="G1891" s="3"/>
      <c r="I1891" s="3"/>
      <c r="K1891" s="3"/>
      <c r="M1891" s="3"/>
      <c r="O1891" s="3"/>
      <c r="Q1891" s="3"/>
      <c r="S1891" s="3"/>
      <c r="U1891" s="3"/>
      <c r="V1891" s="3"/>
      <c r="W1891" s="3"/>
      <c r="X1891" s="3"/>
      <c r="Y1891" s="3"/>
    </row>
    <row r="1892" spans="3:25" x14ac:dyDescent="0.2">
      <c r="C1892" s="3"/>
      <c r="E1892" s="3"/>
      <c r="G1892" s="3"/>
      <c r="I1892" s="3"/>
      <c r="K1892" s="3"/>
      <c r="M1892" s="3"/>
      <c r="O1892" s="3"/>
      <c r="Q1892" s="3"/>
      <c r="S1892" s="3"/>
      <c r="U1892" s="3"/>
      <c r="V1892" s="3"/>
      <c r="W1892" s="3"/>
      <c r="X1892" s="3"/>
      <c r="Y1892" s="3"/>
    </row>
    <row r="1893" spans="3:25" x14ac:dyDescent="0.2">
      <c r="C1893" s="3"/>
      <c r="E1893" s="3"/>
      <c r="G1893" s="3"/>
      <c r="I1893" s="3"/>
      <c r="K1893" s="3"/>
      <c r="M1893" s="3"/>
      <c r="O1893" s="3"/>
      <c r="Q1893" s="3"/>
      <c r="S1893" s="3"/>
      <c r="U1893" s="3"/>
      <c r="V1893" s="3"/>
      <c r="W1893" s="3"/>
      <c r="X1893" s="3"/>
      <c r="Y1893" s="3"/>
    </row>
    <row r="1894" spans="3:25" x14ac:dyDescent="0.2">
      <c r="C1894" s="3"/>
      <c r="E1894" s="3"/>
      <c r="G1894" s="3"/>
      <c r="I1894" s="3"/>
      <c r="K1894" s="3"/>
      <c r="M1894" s="3"/>
      <c r="O1894" s="3"/>
      <c r="Q1894" s="3"/>
      <c r="S1894" s="3"/>
      <c r="U1894" s="3"/>
      <c r="V1894" s="3"/>
      <c r="W1894" s="3"/>
      <c r="X1894" s="3"/>
      <c r="Y1894" s="3"/>
    </row>
    <row r="1895" spans="3:25" x14ac:dyDescent="0.2">
      <c r="C1895" s="3"/>
      <c r="E1895" s="3"/>
      <c r="G1895" s="3"/>
      <c r="I1895" s="3"/>
      <c r="K1895" s="3"/>
      <c r="M1895" s="3"/>
      <c r="O1895" s="3"/>
      <c r="Q1895" s="3"/>
      <c r="S1895" s="3"/>
      <c r="U1895" s="3"/>
      <c r="V1895" s="3"/>
      <c r="W1895" s="3"/>
      <c r="X1895" s="3"/>
      <c r="Y1895" s="3"/>
    </row>
    <row r="1896" spans="3:25" x14ac:dyDescent="0.2">
      <c r="C1896" s="3"/>
      <c r="E1896" s="3"/>
      <c r="G1896" s="3"/>
      <c r="I1896" s="3"/>
      <c r="K1896" s="3"/>
      <c r="M1896" s="3"/>
      <c r="O1896" s="3"/>
      <c r="Q1896" s="3"/>
      <c r="S1896" s="3"/>
      <c r="U1896" s="3"/>
      <c r="V1896" s="3"/>
      <c r="W1896" s="3"/>
      <c r="X1896" s="3"/>
      <c r="Y1896" s="3"/>
    </row>
    <row r="1897" spans="3:25" x14ac:dyDescent="0.2">
      <c r="C1897" s="3"/>
      <c r="E1897" s="3"/>
      <c r="G1897" s="3"/>
      <c r="I1897" s="3"/>
      <c r="K1897" s="3"/>
      <c r="M1897" s="3"/>
      <c r="O1897" s="3"/>
      <c r="Q1897" s="3"/>
      <c r="S1897" s="3"/>
      <c r="U1897" s="3"/>
      <c r="V1897" s="3"/>
      <c r="W1897" s="3"/>
      <c r="X1897" s="3"/>
      <c r="Y1897" s="3"/>
    </row>
    <row r="1898" spans="3:25" x14ac:dyDescent="0.2">
      <c r="C1898" s="3"/>
      <c r="E1898" s="3"/>
      <c r="G1898" s="3"/>
      <c r="I1898" s="3"/>
      <c r="K1898" s="3"/>
      <c r="M1898" s="3"/>
      <c r="O1898" s="3"/>
      <c r="Q1898" s="3"/>
      <c r="S1898" s="3"/>
      <c r="U1898" s="3"/>
      <c r="V1898" s="3"/>
      <c r="W1898" s="3"/>
      <c r="X1898" s="3"/>
      <c r="Y1898" s="3"/>
    </row>
    <row r="1899" spans="3:25" x14ac:dyDescent="0.2">
      <c r="C1899" s="3"/>
      <c r="E1899" s="3"/>
      <c r="G1899" s="3"/>
      <c r="I1899" s="3"/>
      <c r="K1899" s="3"/>
      <c r="M1899" s="3"/>
      <c r="O1899" s="3"/>
      <c r="Q1899" s="3"/>
      <c r="S1899" s="3"/>
      <c r="U1899" s="3"/>
      <c r="V1899" s="3"/>
      <c r="W1899" s="3"/>
      <c r="X1899" s="3"/>
      <c r="Y1899" s="3"/>
    </row>
    <row r="1900" spans="3:25" x14ac:dyDescent="0.2">
      <c r="C1900" s="3"/>
      <c r="E1900" s="3"/>
      <c r="G1900" s="3"/>
      <c r="I1900" s="3"/>
      <c r="K1900" s="3"/>
      <c r="M1900" s="3"/>
      <c r="O1900" s="3"/>
      <c r="Q1900" s="3"/>
      <c r="S1900" s="3"/>
      <c r="U1900" s="3"/>
      <c r="V1900" s="3"/>
      <c r="W1900" s="3"/>
      <c r="X1900" s="3"/>
      <c r="Y1900" s="3"/>
    </row>
    <row r="1901" spans="3:25" x14ac:dyDescent="0.2">
      <c r="C1901" s="3"/>
      <c r="E1901" s="3"/>
      <c r="G1901" s="3"/>
      <c r="I1901" s="3"/>
      <c r="K1901" s="3"/>
      <c r="M1901" s="3"/>
      <c r="O1901" s="3"/>
      <c r="Q1901" s="3"/>
      <c r="S1901" s="3"/>
      <c r="U1901" s="3"/>
      <c r="V1901" s="3"/>
      <c r="W1901" s="3"/>
      <c r="X1901" s="3"/>
      <c r="Y1901" s="3"/>
    </row>
    <row r="1902" spans="3:25" x14ac:dyDescent="0.2">
      <c r="C1902" s="3"/>
      <c r="E1902" s="3"/>
      <c r="G1902" s="3"/>
      <c r="I1902" s="3"/>
      <c r="K1902" s="3"/>
      <c r="M1902" s="3"/>
      <c r="O1902" s="3"/>
      <c r="Q1902" s="3"/>
      <c r="S1902" s="3"/>
      <c r="U1902" s="3"/>
      <c r="V1902" s="3"/>
      <c r="W1902" s="3"/>
      <c r="X1902" s="3"/>
      <c r="Y1902" s="3"/>
    </row>
    <row r="1903" spans="3:25" x14ac:dyDescent="0.2">
      <c r="C1903" s="3"/>
      <c r="E1903" s="3"/>
      <c r="G1903" s="3"/>
      <c r="I1903" s="3"/>
      <c r="K1903" s="3"/>
      <c r="M1903" s="3"/>
      <c r="O1903" s="3"/>
      <c r="Q1903" s="3"/>
      <c r="S1903" s="3"/>
      <c r="U1903" s="3"/>
      <c r="V1903" s="3"/>
      <c r="W1903" s="3"/>
      <c r="X1903" s="3"/>
      <c r="Y1903" s="3"/>
    </row>
    <row r="1904" spans="3:25" x14ac:dyDescent="0.2">
      <c r="C1904" s="3"/>
      <c r="E1904" s="3"/>
      <c r="G1904" s="3"/>
      <c r="I1904" s="3"/>
      <c r="K1904" s="3"/>
      <c r="M1904" s="3"/>
      <c r="O1904" s="3"/>
      <c r="Q1904" s="3"/>
      <c r="S1904" s="3"/>
      <c r="U1904" s="3"/>
      <c r="V1904" s="3"/>
      <c r="W1904" s="3"/>
      <c r="X1904" s="3"/>
      <c r="Y1904" s="3"/>
    </row>
    <row r="1905" spans="3:25" x14ac:dyDescent="0.2">
      <c r="C1905" s="3"/>
      <c r="E1905" s="3"/>
      <c r="G1905" s="3"/>
      <c r="I1905" s="3"/>
      <c r="K1905" s="3"/>
      <c r="M1905" s="3"/>
      <c r="O1905" s="3"/>
      <c r="Q1905" s="3"/>
      <c r="S1905" s="3"/>
      <c r="U1905" s="3"/>
      <c r="V1905" s="3"/>
      <c r="W1905" s="3"/>
      <c r="X1905" s="3"/>
      <c r="Y1905" s="3"/>
    </row>
    <row r="1906" spans="3:25" x14ac:dyDescent="0.2">
      <c r="C1906" s="3"/>
      <c r="E1906" s="3"/>
      <c r="G1906" s="3"/>
      <c r="I1906" s="3"/>
      <c r="K1906" s="3"/>
      <c r="M1906" s="3"/>
      <c r="O1906" s="3"/>
      <c r="Q1906" s="3"/>
      <c r="S1906" s="3"/>
      <c r="U1906" s="3"/>
      <c r="V1906" s="3"/>
      <c r="W1906" s="3"/>
      <c r="X1906" s="3"/>
      <c r="Y1906" s="3"/>
    </row>
    <row r="1907" spans="3:25" x14ac:dyDescent="0.2">
      <c r="C1907" s="3"/>
      <c r="E1907" s="3"/>
      <c r="G1907" s="3"/>
      <c r="I1907" s="3"/>
      <c r="K1907" s="3"/>
      <c r="M1907" s="3"/>
      <c r="O1907" s="3"/>
      <c r="Q1907" s="3"/>
      <c r="S1907" s="3"/>
      <c r="U1907" s="3"/>
      <c r="V1907" s="3"/>
      <c r="W1907" s="3"/>
      <c r="X1907" s="3"/>
      <c r="Y1907" s="3"/>
    </row>
    <row r="1908" spans="3:25" x14ac:dyDescent="0.2">
      <c r="C1908" s="3"/>
      <c r="E1908" s="3"/>
      <c r="G1908" s="3"/>
      <c r="I1908" s="3"/>
      <c r="K1908" s="3"/>
      <c r="M1908" s="3"/>
      <c r="O1908" s="3"/>
      <c r="Q1908" s="3"/>
      <c r="S1908" s="3"/>
      <c r="U1908" s="3"/>
      <c r="V1908" s="3"/>
      <c r="W1908" s="3"/>
      <c r="X1908" s="3"/>
      <c r="Y1908" s="3"/>
    </row>
    <row r="1909" spans="3:25" x14ac:dyDescent="0.2">
      <c r="C1909" s="3"/>
      <c r="E1909" s="3"/>
      <c r="G1909" s="3"/>
      <c r="I1909" s="3"/>
      <c r="K1909" s="3"/>
      <c r="M1909" s="3"/>
      <c r="O1909" s="3"/>
      <c r="Q1909" s="3"/>
      <c r="S1909" s="3"/>
      <c r="U1909" s="3"/>
      <c r="V1909" s="3"/>
      <c r="W1909" s="3"/>
      <c r="X1909" s="3"/>
      <c r="Y1909" s="3"/>
    </row>
    <row r="1910" spans="3:25" x14ac:dyDescent="0.2">
      <c r="C1910" s="3"/>
      <c r="E1910" s="3"/>
      <c r="G1910" s="3"/>
      <c r="I1910" s="3"/>
      <c r="K1910" s="3"/>
      <c r="M1910" s="3"/>
      <c r="O1910" s="3"/>
      <c r="Q1910" s="3"/>
      <c r="S1910" s="3"/>
      <c r="U1910" s="3"/>
      <c r="V1910" s="3"/>
      <c r="W1910" s="3"/>
      <c r="X1910" s="3"/>
      <c r="Y1910" s="3"/>
    </row>
    <row r="1911" spans="3:25" x14ac:dyDescent="0.2">
      <c r="C1911" s="3"/>
      <c r="E1911" s="3"/>
      <c r="G1911" s="3"/>
      <c r="I1911" s="3"/>
      <c r="K1911" s="3"/>
      <c r="M1911" s="3"/>
      <c r="O1911" s="3"/>
      <c r="Q1911" s="3"/>
      <c r="S1911" s="3"/>
      <c r="U1911" s="3"/>
      <c r="V1911" s="3"/>
      <c r="W1911" s="3"/>
      <c r="X1911" s="3"/>
      <c r="Y1911" s="3"/>
    </row>
    <row r="1912" spans="3:25" x14ac:dyDescent="0.2">
      <c r="C1912" s="3"/>
      <c r="E1912" s="3"/>
      <c r="G1912" s="3"/>
      <c r="I1912" s="3"/>
      <c r="K1912" s="3"/>
      <c r="M1912" s="3"/>
      <c r="O1912" s="3"/>
      <c r="Q1912" s="3"/>
      <c r="S1912" s="3"/>
      <c r="U1912" s="3"/>
      <c r="V1912" s="3"/>
      <c r="W1912" s="3"/>
      <c r="X1912" s="3"/>
      <c r="Y1912" s="3"/>
    </row>
    <row r="1913" spans="3:25" x14ac:dyDescent="0.2">
      <c r="C1913" s="3"/>
      <c r="E1913" s="3"/>
      <c r="G1913" s="3"/>
      <c r="I1913" s="3"/>
      <c r="K1913" s="3"/>
      <c r="M1913" s="3"/>
      <c r="O1913" s="3"/>
      <c r="Q1913" s="3"/>
      <c r="S1913" s="3"/>
      <c r="U1913" s="3"/>
      <c r="V1913" s="3"/>
      <c r="W1913" s="3"/>
      <c r="X1913" s="3"/>
      <c r="Y1913" s="3"/>
    </row>
    <row r="1914" spans="3:25" x14ac:dyDescent="0.2">
      <c r="C1914" s="3"/>
      <c r="E1914" s="3"/>
      <c r="G1914" s="3"/>
      <c r="I1914" s="3"/>
      <c r="K1914" s="3"/>
      <c r="M1914" s="3"/>
      <c r="O1914" s="3"/>
      <c r="Q1914" s="3"/>
      <c r="S1914" s="3"/>
      <c r="U1914" s="3"/>
      <c r="V1914" s="3"/>
      <c r="W1914" s="3"/>
      <c r="X1914" s="3"/>
      <c r="Y1914" s="3"/>
    </row>
    <row r="1915" spans="3:25" x14ac:dyDescent="0.2">
      <c r="C1915" s="3"/>
      <c r="E1915" s="3"/>
      <c r="G1915" s="3"/>
      <c r="I1915" s="3"/>
      <c r="K1915" s="3"/>
      <c r="M1915" s="3"/>
      <c r="O1915" s="3"/>
      <c r="Q1915" s="3"/>
      <c r="S1915" s="3"/>
      <c r="U1915" s="3"/>
      <c r="V1915" s="3"/>
      <c r="W1915" s="3"/>
      <c r="X1915" s="3"/>
      <c r="Y1915" s="3"/>
    </row>
    <row r="1916" spans="3:25" x14ac:dyDescent="0.2">
      <c r="C1916" s="3"/>
      <c r="E1916" s="3"/>
      <c r="G1916" s="3"/>
      <c r="I1916" s="3"/>
      <c r="K1916" s="3"/>
      <c r="M1916" s="3"/>
      <c r="O1916" s="3"/>
      <c r="Q1916" s="3"/>
      <c r="S1916" s="3"/>
      <c r="U1916" s="3"/>
      <c r="V1916" s="3"/>
      <c r="W1916" s="3"/>
      <c r="X1916" s="3"/>
      <c r="Y1916" s="3"/>
    </row>
    <row r="1917" spans="3:25" x14ac:dyDescent="0.2">
      <c r="C1917" s="3"/>
      <c r="E1917" s="3"/>
      <c r="G1917" s="3"/>
      <c r="I1917" s="3"/>
      <c r="K1917" s="3"/>
      <c r="M1917" s="3"/>
      <c r="O1917" s="3"/>
      <c r="Q1917" s="3"/>
      <c r="S1917" s="3"/>
      <c r="U1917" s="3"/>
      <c r="V1917" s="3"/>
      <c r="W1917" s="3"/>
      <c r="X1917" s="3"/>
      <c r="Y1917" s="3"/>
    </row>
    <row r="1918" spans="3:25" x14ac:dyDescent="0.2">
      <c r="C1918" s="3"/>
      <c r="E1918" s="3"/>
      <c r="G1918" s="3"/>
      <c r="I1918" s="3"/>
      <c r="K1918" s="3"/>
      <c r="M1918" s="3"/>
      <c r="O1918" s="3"/>
      <c r="Q1918" s="3"/>
      <c r="S1918" s="3"/>
      <c r="U1918" s="3"/>
      <c r="V1918" s="3"/>
      <c r="W1918" s="3"/>
      <c r="X1918" s="3"/>
      <c r="Y1918" s="3"/>
    </row>
    <row r="1919" spans="3:25" x14ac:dyDescent="0.2">
      <c r="C1919" s="3"/>
      <c r="E1919" s="3"/>
      <c r="G1919" s="3"/>
      <c r="I1919" s="3"/>
      <c r="K1919" s="3"/>
      <c r="M1919" s="3"/>
      <c r="O1919" s="3"/>
      <c r="Q1919" s="3"/>
      <c r="S1919" s="3"/>
      <c r="U1919" s="3"/>
      <c r="V1919" s="3"/>
      <c r="W1919" s="3"/>
      <c r="X1919" s="3"/>
      <c r="Y1919" s="3"/>
    </row>
    <row r="1920" spans="3:25" x14ac:dyDescent="0.2">
      <c r="C1920" s="3"/>
      <c r="E1920" s="3"/>
      <c r="G1920" s="3"/>
      <c r="I1920" s="3"/>
      <c r="K1920" s="3"/>
      <c r="M1920" s="3"/>
      <c r="O1920" s="3"/>
      <c r="Q1920" s="3"/>
      <c r="S1920" s="3"/>
      <c r="U1920" s="3"/>
      <c r="V1920" s="3"/>
      <c r="W1920" s="3"/>
      <c r="X1920" s="3"/>
      <c r="Y1920" s="3"/>
    </row>
    <row r="1921" spans="3:25" x14ac:dyDescent="0.2">
      <c r="C1921" s="3"/>
      <c r="E1921" s="3"/>
      <c r="G1921" s="3"/>
      <c r="I1921" s="3"/>
      <c r="K1921" s="3"/>
      <c r="M1921" s="3"/>
      <c r="O1921" s="3"/>
      <c r="Q1921" s="3"/>
      <c r="S1921" s="3"/>
      <c r="U1921" s="3"/>
      <c r="V1921" s="3"/>
      <c r="W1921" s="3"/>
      <c r="X1921" s="3"/>
      <c r="Y1921" s="3"/>
    </row>
    <row r="1922" spans="3:25" x14ac:dyDescent="0.2">
      <c r="C1922" s="3"/>
      <c r="E1922" s="3"/>
      <c r="G1922" s="3"/>
      <c r="I1922" s="3"/>
      <c r="K1922" s="3"/>
      <c r="M1922" s="3"/>
      <c r="O1922" s="3"/>
      <c r="Q1922" s="3"/>
      <c r="S1922" s="3"/>
      <c r="U1922" s="3"/>
      <c r="V1922" s="3"/>
      <c r="W1922" s="3"/>
      <c r="X1922" s="3"/>
      <c r="Y1922" s="3"/>
    </row>
    <row r="1923" spans="3:25" x14ac:dyDescent="0.2">
      <c r="C1923" s="3"/>
      <c r="E1923" s="3"/>
      <c r="G1923" s="3"/>
      <c r="I1923" s="3"/>
      <c r="K1923" s="3"/>
      <c r="M1923" s="3"/>
      <c r="O1923" s="3"/>
      <c r="Q1923" s="3"/>
      <c r="S1923" s="3"/>
      <c r="U1923" s="3"/>
      <c r="V1923" s="3"/>
      <c r="W1923" s="3"/>
      <c r="X1923" s="3"/>
      <c r="Y1923" s="3"/>
    </row>
    <row r="1924" spans="3:25" x14ac:dyDescent="0.2">
      <c r="C1924" s="3"/>
      <c r="E1924" s="3"/>
      <c r="G1924" s="3"/>
      <c r="I1924" s="3"/>
      <c r="K1924" s="3"/>
      <c r="M1924" s="3"/>
      <c r="O1924" s="3"/>
      <c r="Q1924" s="3"/>
      <c r="S1924" s="3"/>
      <c r="U1924" s="3"/>
      <c r="V1924" s="3"/>
      <c r="W1924" s="3"/>
      <c r="X1924" s="3"/>
      <c r="Y1924" s="3"/>
    </row>
    <row r="1925" spans="3:25" x14ac:dyDescent="0.2">
      <c r="C1925" s="3"/>
      <c r="E1925" s="3"/>
      <c r="G1925" s="3"/>
      <c r="I1925" s="3"/>
      <c r="K1925" s="3"/>
      <c r="M1925" s="3"/>
      <c r="O1925" s="3"/>
      <c r="Q1925" s="3"/>
      <c r="S1925" s="3"/>
      <c r="U1925" s="3"/>
      <c r="V1925" s="3"/>
      <c r="W1925" s="3"/>
      <c r="X1925" s="3"/>
      <c r="Y1925" s="3"/>
    </row>
    <row r="1926" spans="3:25" x14ac:dyDescent="0.2">
      <c r="C1926" s="3"/>
      <c r="E1926" s="3"/>
      <c r="G1926" s="3"/>
      <c r="I1926" s="3"/>
      <c r="K1926" s="3"/>
      <c r="M1926" s="3"/>
      <c r="O1926" s="3"/>
      <c r="Q1926" s="3"/>
      <c r="S1926" s="3"/>
      <c r="U1926" s="3"/>
      <c r="V1926" s="3"/>
      <c r="W1926" s="3"/>
      <c r="X1926" s="3"/>
      <c r="Y1926" s="3"/>
    </row>
    <row r="1927" spans="3:25" x14ac:dyDescent="0.2">
      <c r="C1927" s="3"/>
      <c r="E1927" s="3"/>
      <c r="G1927" s="3"/>
      <c r="I1927" s="3"/>
      <c r="K1927" s="3"/>
      <c r="M1927" s="3"/>
      <c r="O1927" s="3"/>
      <c r="Q1927" s="3"/>
      <c r="S1927" s="3"/>
      <c r="U1927" s="3"/>
      <c r="V1927" s="3"/>
      <c r="W1927" s="3"/>
      <c r="X1927" s="3"/>
      <c r="Y1927" s="3"/>
    </row>
    <row r="1928" spans="3:25" x14ac:dyDescent="0.2">
      <c r="C1928" s="3"/>
      <c r="E1928" s="3"/>
      <c r="G1928" s="3"/>
      <c r="I1928" s="3"/>
      <c r="K1928" s="3"/>
      <c r="M1928" s="3"/>
      <c r="O1928" s="3"/>
      <c r="Q1928" s="3"/>
      <c r="S1928" s="3"/>
      <c r="U1928" s="3"/>
      <c r="V1928" s="3"/>
      <c r="W1928" s="3"/>
      <c r="X1928" s="3"/>
      <c r="Y1928" s="3"/>
    </row>
    <row r="1929" spans="3:25" x14ac:dyDescent="0.2">
      <c r="C1929" s="3"/>
      <c r="E1929" s="3"/>
      <c r="G1929" s="3"/>
      <c r="I1929" s="3"/>
      <c r="K1929" s="3"/>
      <c r="M1929" s="3"/>
      <c r="O1929" s="3"/>
      <c r="Q1929" s="3"/>
      <c r="S1929" s="3"/>
      <c r="U1929" s="3"/>
      <c r="V1929" s="3"/>
      <c r="W1929" s="3"/>
      <c r="X1929" s="3"/>
      <c r="Y1929" s="3"/>
    </row>
    <row r="1930" spans="3:25" x14ac:dyDescent="0.2">
      <c r="C1930" s="3"/>
      <c r="E1930" s="3"/>
      <c r="G1930" s="3"/>
      <c r="I1930" s="3"/>
      <c r="K1930" s="3"/>
      <c r="M1930" s="3"/>
      <c r="O1930" s="3"/>
      <c r="Q1930" s="3"/>
      <c r="S1930" s="3"/>
      <c r="U1930" s="3"/>
      <c r="V1930" s="3"/>
      <c r="W1930" s="3"/>
      <c r="X1930" s="3"/>
      <c r="Y1930" s="3"/>
    </row>
    <row r="1931" spans="3:25" x14ac:dyDescent="0.2">
      <c r="C1931" s="3"/>
      <c r="E1931" s="3"/>
      <c r="G1931" s="3"/>
      <c r="I1931" s="3"/>
      <c r="K1931" s="3"/>
      <c r="M1931" s="3"/>
      <c r="O1931" s="3"/>
      <c r="Q1931" s="3"/>
      <c r="S1931" s="3"/>
      <c r="U1931" s="3"/>
      <c r="V1931" s="3"/>
      <c r="W1931" s="3"/>
      <c r="X1931" s="3"/>
      <c r="Y1931" s="3"/>
    </row>
    <row r="1932" spans="3:25" x14ac:dyDescent="0.2">
      <c r="C1932" s="3"/>
      <c r="E1932" s="3"/>
      <c r="G1932" s="3"/>
      <c r="I1932" s="3"/>
      <c r="K1932" s="3"/>
      <c r="M1932" s="3"/>
      <c r="O1932" s="3"/>
      <c r="Q1932" s="3"/>
      <c r="S1932" s="3"/>
      <c r="U1932" s="3"/>
      <c r="V1932" s="3"/>
      <c r="W1932" s="3"/>
      <c r="X1932" s="3"/>
      <c r="Y1932" s="3"/>
    </row>
    <row r="1933" spans="3:25" x14ac:dyDescent="0.2">
      <c r="C1933" s="3"/>
      <c r="E1933" s="3"/>
      <c r="G1933" s="3"/>
      <c r="I1933" s="3"/>
      <c r="K1933" s="3"/>
      <c r="M1933" s="3"/>
      <c r="O1933" s="3"/>
      <c r="Q1933" s="3"/>
      <c r="S1933" s="3"/>
      <c r="U1933" s="3"/>
      <c r="V1933" s="3"/>
      <c r="W1933" s="3"/>
      <c r="X1933" s="3"/>
      <c r="Y1933" s="3"/>
    </row>
    <row r="1934" spans="3:25" x14ac:dyDescent="0.2">
      <c r="C1934" s="3"/>
      <c r="E1934" s="3"/>
      <c r="G1934" s="3"/>
      <c r="I1934" s="3"/>
      <c r="K1934" s="3"/>
      <c r="M1934" s="3"/>
      <c r="O1934" s="3"/>
      <c r="Q1934" s="3"/>
      <c r="S1934" s="3"/>
      <c r="U1934" s="3"/>
      <c r="V1934" s="3"/>
      <c r="W1934" s="3"/>
      <c r="X1934" s="3"/>
      <c r="Y1934" s="3"/>
    </row>
    <row r="1935" spans="3:25" x14ac:dyDescent="0.2">
      <c r="C1935" s="3"/>
      <c r="E1935" s="3"/>
      <c r="G1935" s="3"/>
      <c r="I1935" s="3"/>
      <c r="K1935" s="3"/>
      <c r="M1935" s="3"/>
      <c r="O1935" s="3"/>
      <c r="Q1935" s="3"/>
      <c r="S1935" s="3"/>
      <c r="U1935" s="3"/>
      <c r="V1935" s="3"/>
      <c r="W1935" s="3"/>
      <c r="X1935" s="3"/>
      <c r="Y1935" s="3"/>
    </row>
    <row r="1936" spans="3:25" x14ac:dyDescent="0.2">
      <c r="C1936" s="3"/>
      <c r="E1936" s="3"/>
      <c r="G1936" s="3"/>
      <c r="I1936" s="3"/>
      <c r="K1936" s="3"/>
      <c r="M1936" s="3"/>
      <c r="O1936" s="3"/>
      <c r="Q1936" s="3"/>
      <c r="S1936" s="3"/>
      <c r="U1936" s="3"/>
      <c r="V1936" s="3"/>
      <c r="W1936" s="3"/>
      <c r="X1936" s="3"/>
      <c r="Y1936" s="3"/>
    </row>
    <row r="1937" spans="3:25" x14ac:dyDescent="0.2">
      <c r="C1937" s="3"/>
      <c r="E1937" s="3"/>
      <c r="G1937" s="3"/>
      <c r="I1937" s="3"/>
      <c r="K1937" s="3"/>
      <c r="M1937" s="3"/>
      <c r="O1937" s="3"/>
      <c r="Q1937" s="3"/>
      <c r="S1937" s="3"/>
      <c r="U1937" s="3"/>
      <c r="V1937" s="3"/>
      <c r="W1937" s="3"/>
      <c r="X1937" s="3"/>
      <c r="Y1937" s="3"/>
    </row>
    <row r="1938" spans="3:25" x14ac:dyDescent="0.2">
      <c r="C1938" s="3"/>
      <c r="E1938" s="3"/>
      <c r="G1938" s="3"/>
      <c r="I1938" s="3"/>
      <c r="K1938" s="3"/>
      <c r="M1938" s="3"/>
      <c r="O1938" s="3"/>
      <c r="Q1938" s="3"/>
      <c r="S1938" s="3"/>
      <c r="U1938" s="3"/>
      <c r="V1938" s="3"/>
      <c r="W1938" s="3"/>
      <c r="X1938" s="3"/>
      <c r="Y1938" s="3"/>
    </row>
    <row r="1939" spans="3:25" x14ac:dyDescent="0.2">
      <c r="C1939" s="3"/>
      <c r="E1939" s="3"/>
      <c r="G1939" s="3"/>
      <c r="I1939" s="3"/>
      <c r="K1939" s="3"/>
      <c r="M1939" s="3"/>
      <c r="O1939" s="3"/>
      <c r="Q1939" s="3"/>
      <c r="S1939" s="3"/>
      <c r="U1939" s="3"/>
      <c r="V1939" s="3"/>
      <c r="W1939" s="3"/>
      <c r="X1939" s="3"/>
      <c r="Y1939" s="3"/>
    </row>
    <row r="1940" spans="3:25" x14ac:dyDescent="0.2">
      <c r="C1940" s="3"/>
      <c r="E1940" s="3"/>
      <c r="G1940" s="3"/>
      <c r="I1940" s="3"/>
      <c r="K1940" s="3"/>
      <c r="M1940" s="3"/>
      <c r="O1940" s="3"/>
      <c r="Q1940" s="3"/>
      <c r="S1940" s="3"/>
      <c r="U1940" s="3"/>
      <c r="V1940" s="3"/>
      <c r="W1940" s="3"/>
      <c r="X1940" s="3"/>
      <c r="Y1940" s="3"/>
    </row>
    <row r="1941" spans="3:25" x14ac:dyDescent="0.2">
      <c r="C1941" s="3"/>
      <c r="E1941" s="3"/>
      <c r="G1941" s="3"/>
      <c r="I1941" s="3"/>
      <c r="K1941" s="3"/>
      <c r="M1941" s="3"/>
      <c r="O1941" s="3"/>
      <c r="Q1941" s="3"/>
      <c r="S1941" s="3"/>
      <c r="U1941" s="3"/>
      <c r="V1941" s="3"/>
      <c r="W1941" s="3"/>
      <c r="X1941" s="3"/>
      <c r="Y1941" s="3"/>
    </row>
    <row r="1942" spans="3:25" x14ac:dyDescent="0.2">
      <c r="C1942" s="3"/>
      <c r="E1942" s="3"/>
      <c r="G1942" s="3"/>
      <c r="I1942" s="3"/>
      <c r="K1942" s="3"/>
      <c r="M1942" s="3"/>
      <c r="O1942" s="3"/>
      <c r="Q1942" s="3"/>
      <c r="S1942" s="3"/>
      <c r="U1942" s="3"/>
      <c r="V1942" s="3"/>
      <c r="W1942" s="3"/>
      <c r="X1942" s="3"/>
      <c r="Y1942" s="3"/>
    </row>
    <row r="1943" spans="3:25" x14ac:dyDescent="0.2">
      <c r="C1943" s="3"/>
      <c r="E1943" s="3"/>
      <c r="G1943" s="3"/>
      <c r="I1943" s="3"/>
      <c r="K1943" s="3"/>
      <c r="M1943" s="3"/>
      <c r="O1943" s="3"/>
      <c r="Q1943" s="3"/>
      <c r="S1943" s="3"/>
      <c r="U1943" s="3"/>
      <c r="V1943" s="3"/>
      <c r="W1943" s="3"/>
      <c r="X1943" s="3"/>
      <c r="Y1943" s="3"/>
    </row>
    <row r="1944" spans="3:25" x14ac:dyDescent="0.2">
      <c r="C1944" s="3"/>
      <c r="E1944" s="3"/>
      <c r="G1944" s="3"/>
      <c r="I1944" s="3"/>
      <c r="K1944" s="3"/>
      <c r="M1944" s="3"/>
      <c r="O1944" s="3"/>
      <c r="Q1944" s="3"/>
      <c r="S1944" s="3"/>
      <c r="U1944" s="3"/>
      <c r="V1944" s="3"/>
      <c r="W1944" s="3"/>
      <c r="X1944" s="3"/>
      <c r="Y1944" s="3"/>
    </row>
    <row r="1945" spans="3:25" x14ac:dyDescent="0.2">
      <c r="C1945" s="3"/>
      <c r="E1945" s="3"/>
      <c r="G1945" s="3"/>
      <c r="I1945" s="3"/>
      <c r="K1945" s="3"/>
      <c r="M1945" s="3"/>
      <c r="O1945" s="3"/>
      <c r="Q1945" s="3"/>
      <c r="S1945" s="3"/>
      <c r="U1945" s="3"/>
      <c r="V1945" s="3"/>
      <c r="W1945" s="3"/>
      <c r="X1945" s="3"/>
      <c r="Y1945" s="3"/>
    </row>
    <row r="1946" spans="3:25" x14ac:dyDescent="0.2">
      <c r="C1946" s="3"/>
      <c r="E1946" s="3"/>
      <c r="G1946" s="3"/>
      <c r="I1946" s="3"/>
      <c r="K1946" s="3"/>
      <c r="M1946" s="3"/>
      <c r="O1946" s="3"/>
      <c r="Q1946" s="3"/>
      <c r="S1946" s="3"/>
      <c r="U1946" s="3"/>
      <c r="V1946" s="3"/>
      <c r="W1946" s="3"/>
      <c r="X1946" s="3"/>
      <c r="Y1946" s="3"/>
    </row>
    <row r="1947" spans="3:25" x14ac:dyDescent="0.2">
      <c r="C1947" s="3"/>
      <c r="E1947" s="3"/>
      <c r="G1947" s="3"/>
      <c r="I1947" s="3"/>
      <c r="K1947" s="3"/>
      <c r="M1947" s="3"/>
      <c r="O1947" s="3"/>
      <c r="Q1947" s="3"/>
      <c r="S1947" s="3"/>
      <c r="U1947" s="3"/>
      <c r="V1947" s="3"/>
      <c r="W1947" s="3"/>
      <c r="X1947" s="3"/>
      <c r="Y1947" s="3"/>
    </row>
    <row r="1948" spans="3:25" x14ac:dyDescent="0.2">
      <c r="C1948" s="3"/>
      <c r="E1948" s="3"/>
      <c r="G1948" s="3"/>
      <c r="I1948" s="3"/>
      <c r="K1948" s="3"/>
      <c r="M1948" s="3"/>
      <c r="O1948" s="3"/>
      <c r="Q1948" s="3"/>
      <c r="S1948" s="3"/>
      <c r="U1948" s="3"/>
      <c r="V1948" s="3"/>
      <c r="W1948" s="3"/>
      <c r="X1948" s="3"/>
      <c r="Y1948" s="3"/>
    </row>
    <row r="1949" spans="3:25" x14ac:dyDescent="0.2">
      <c r="C1949" s="3"/>
      <c r="E1949" s="3"/>
      <c r="G1949" s="3"/>
      <c r="I1949" s="3"/>
      <c r="K1949" s="3"/>
      <c r="M1949" s="3"/>
      <c r="O1949" s="3"/>
      <c r="Q1949" s="3"/>
      <c r="S1949" s="3"/>
      <c r="U1949" s="3"/>
      <c r="V1949" s="3"/>
      <c r="W1949" s="3"/>
      <c r="X1949" s="3"/>
      <c r="Y1949" s="3"/>
    </row>
    <row r="1950" spans="3:25" x14ac:dyDescent="0.2">
      <c r="C1950" s="3"/>
      <c r="E1950" s="3"/>
      <c r="G1950" s="3"/>
      <c r="I1950" s="3"/>
      <c r="K1950" s="3"/>
      <c r="M1950" s="3"/>
      <c r="O1950" s="3"/>
      <c r="Q1950" s="3"/>
      <c r="S1950" s="3"/>
      <c r="U1950" s="3"/>
      <c r="V1950" s="3"/>
      <c r="W1950" s="3"/>
      <c r="X1950" s="3"/>
      <c r="Y1950" s="3"/>
    </row>
    <row r="1951" spans="3:25" x14ac:dyDescent="0.2">
      <c r="C1951" s="3"/>
      <c r="E1951" s="3"/>
      <c r="G1951" s="3"/>
      <c r="I1951" s="3"/>
      <c r="K1951" s="3"/>
      <c r="M1951" s="3"/>
      <c r="O1951" s="3"/>
      <c r="Q1951" s="3"/>
      <c r="S1951" s="3"/>
      <c r="U1951" s="3"/>
      <c r="V1951" s="3"/>
      <c r="W1951" s="3"/>
      <c r="X1951" s="3"/>
      <c r="Y1951" s="3"/>
    </row>
    <row r="1952" spans="3:25" x14ac:dyDescent="0.2">
      <c r="C1952" s="3"/>
      <c r="E1952" s="3"/>
      <c r="G1952" s="3"/>
      <c r="I1952" s="3"/>
      <c r="K1952" s="3"/>
      <c r="M1952" s="3"/>
      <c r="O1952" s="3"/>
      <c r="Q1952" s="3"/>
      <c r="S1952" s="3"/>
      <c r="U1952" s="3"/>
      <c r="V1952" s="3"/>
      <c r="W1952" s="3"/>
      <c r="X1952" s="3"/>
      <c r="Y1952" s="3"/>
    </row>
    <row r="1953" spans="3:25" x14ac:dyDescent="0.2">
      <c r="C1953" s="3"/>
      <c r="E1953" s="3"/>
      <c r="G1953" s="3"/>
      <c r="I1953" s="3"/>
      <c r="K1953" s="3"/>
      <c r="M1953" s="3"/>
      <c r="O1953" s="3"/>
      <c r="Q1953" s="3"/>
      <c r="S1953" s="3"/>
      <c r="U1953" s="3"/>
      <c r="V1953" s="3"/>
      <c r="W1953" s="3"/>
      <c r="X1953" s="3"/>
      <c r="Y1953" s="3"/>
    </row>
    <row r="1954" spans="3:25" x14ac:dyDescent="0.2">
      <c r="C1954" s="3"/>
      <c r="E1954" s="3"/>
      <c r="G1954" s="3"/>
      <c r="I1954" s="3"/>
      <c r="K1954" s="3"/>
      <c r="M1954" s="3"/>
      <c r="O1954" s="3"/>
      <c r="Q1954" s="3"/>
      <c r="S1954" s="3"/>
      <c r="U1954" s="3"/>
      <c r="V1954" s="3"/>
      <c r="W1954" s="3"/>
      <c r="X1954" s="3"/>
      <c r="Y1954" s="3"/>
    </row>
    <row r="1955" spans="3:25" x14ac:dyDescent="0.2">
      <c r="C1955" s="3"/>
      <c r="E1955" s="3"/>
      <c r="G1955" s="3"/>
      <c r="I1955" s="3"/>
      <c r="K1955" s="3"/>
      <c r="M1955" s="3"/>
      <c r="O1955" s="3"/>
      <c r="Q1955" s="3"/>
      <c r="S1955" s="3"/>
      <c r="U1955" s="3"/>
      <c r="V1955" s="3"/>
      <c r="W1955" s="3"/>
      <c r="X1955" s="3"/>
      <c r="Y1955" s="3"/>
    </row>
    <row r="1956" spans="3:25" x14ac:dyDescent="0.2">
      <c r="C1956" s="3"/>
      <c r="E1956" s="3"/>
      <c r="G1956" s="3"/>
      <c r="I1956" s="3"/>
      <c r="K1956" s="3"/>
      <c r="M1956" s="3"/>
      <c r="O1956" s="3"/>
      <c r="Q1956" s="3"/>
      <c r="S1956" s="3"/>
      <c r="U1956" s="3"/>
      <c r="V1956" s="3"/>
      <c r="W1956" s="3"/>
      <c r="X1956" s="3"/>
      <c r="Y1956" s="3"/>
    </row>
    <row r="1957" spans="3:25" x14ac:dyDescent="0.2">
      <c r="C1957" s="3"/>
      <c r="E1957" s="3"/>
      <c r="G1957" s="3"/>
      <c r="I1957" s="3"/>
      <c r="K1957" s="3"/>
      <c r="M1957" s="3"/>
      <c r="O1957" s="3"/>
      <c r="Q1957" s="3"/>
      <c r="S1957" s="3"/>
      <c r="U1957" s="3"/>
      <c r="V1957" s="3"/>
      <c r="W1957" s="3"/>
      <c r="X1957" s="3"/>
      <c r="Y1957" s="3"/>
    </row>
    <row r="1958" spans="3:25" x14ac:dyDescent="0.2">
      <c r="C1958" s="3"/>
      <c r="E1958" s="3"/>
      <c r="G1958" s="3"/>
      <c r="I1958" s="3"/>
      <c r="K1958" s="3"/>
      <c r="M1958" s="3"/>
      <c r="O1958" s="3"/>
      <c r="Q1958" s="3"/>
      <c r="S1958" s="3"/>
      <c r="U1958" s="3"/>
      <c r="V1958" s="3"/>
      <c r="W1958" s="3"/>
      <c r="X1958" s="3"/>
      <c r="Y1958" s="3"/>
    </row>
    <row r="1959" spans="3:25" x14ac:dyDescent="0.2">
      <c r="C1959" s="3"/>
      <c r="E1959" s="3"/>
      <c r="G1959" s="3"/>
      <c r="I1959" s="3"/>
      <c r="K1959" s="3"/>
      <c r="M1959" s="3"/>
      <c r="O1959" s="3"/>
      <c r="Q1959" s="3"/>
      <c r="S1959" s="3"/>
      <c r="U1959" s="3"/>
      <c r="V1959" s="3"/>
      <c r="W1959" s="3"/>
      <c r="X1959" s="3"/>
      <c r="Y1959" s="3"/>
    </row>
    <row r="1960" spans="3:25" x14ac:dyDescent="0.2">
      <c r="C1960" s="3"/>
      <c r="E1960" s="3"/>
      <c r="G1960" s="3"/>
      <c r="I1960" s="3"/>
      <c r="K1960" s="3"/>
      <c r="M1960" s="3"/>
      <c r="O1960" s="3"/>
      <c r="Q1960" s="3"/>
      <c r="S1960" s="3"/>
      <c r="U1960" s="3"/>
      <c r="V1960" s="3"/>
      <c r="W1960" s="3"/>
      <c r="X1960" s="3"/>
      <c r="Y1960" s="3"/>
    </row>
    <row r="1961" spans="3:25" x14ac:dyDescent="0.2">
      <c r="C1961" s="3"/>
      <c r="E1961" s="3"/>
      <c r="G1961" s="3"/>
      <c r="I1961" s="3"/>
      <c r="K1961" s="3"/>
      <c r="M1961" s="3"/>
      <c r="O1961" s="3"/>
      <c r="Q1961" s="3"/>
      <c r="S1961" s="3"/>
      <c r="U1961" s="3"/>
      <c r="V1961" s="3"/>
      <c r="W1961" s="3"/>
      <c r="X1961" s="3"/>
      <c r="Y1961" s="3"/>
    </row>
    <row r="1962" spans="3:25" x14ac:dyDescent="0.2">
      <c r="C1962" s="3"/>
      <c r="E1962" s="3"/>
      <c r="G1962" s="3"/>
      <c r="I1962" s="3"/>
      <c r="K1962" s="3"/>
      <c r="M1962" s="3"/>
      <c r="O1962" s="3"/>
      <c r="Q1962" s="3"/>
      <c r="S1962" s="3"/>
      <c r="U1962" s="3"/>
      <c r="V1962" s="3"/>
      <c r="W1962" s="3"/>
      <c r="X1962" s="3"/>
      <c r="Y1962" s="3"/>
    </row>
    <row r="1963" spans="3:25" x14ac:dyDescent="0.2">
      <c r="C1963" s="3"/>
      <c r="E1963" s="3"/>
      <c r="G1963" s="3"/>
      <c r="I1963" s="3"/>
      <c r="K1963" s="3"/>
      <c r="M1963" s="3"/>
      <c r="O1963" s="3"/>
      <c r="Q1963" s="3"/>
      <c r="S1963" s="3"/>
      <c r="U1963" s="3"/>
      <c r="V1963" s="3"/>
      <c r="W1963" s="3"/>
      <c r="X1963" s="3"/>
      <c r="Y1963" s="3"/>
    </row>
    <row r="1964" spans="3:25" x14ac:dyDescent="0.2">
      <c r="C1964" s="3"/>
      <c r="E1964" s="3"/>
      <c r="G1964" s="3"/>
      <c r="I1964" s="3"/>
      <c r="K1964" s="3"/>
      <c r="M1964" s="3"/>
      <c r="O1964" s="3"/>
      <c r="Q1964" s="3"/>
      <c r="S1964" s="3"/>
      <c r="U1964" s="3"/>
      <c r="V1964" s="3"/>
      <c r="W1964" s="3"/>
      <c r="X1964" s="3"/>
      <c r="Y1964" s="3"/>
    </row>
    <row r="1965" spans="3:25" x14ac:dyDescent="0.2">
      <c r="C1965" s="3"/>
      <c r="E1965" s="3"/>
      <c r="G1965" s="3"/>
      <c r="I1965" s="3"/>
      <c r="K1965" s="3"/>
      <c r="M1965" s="3"/>
      <c r="O1965" s="3"/>
      <c r="Q1965" s="3"/>
      <c r="S1965" s="3"/>
      <c r="U1965" s="3"/>
      <c r="V1965" s="3"/>
      <c r="W1965" s="3"/>
      <c r="X1965" s="3"/>
      <c r="Y1965" s="3"/>
    </row>
    <row r="1966" spans="3:25" x14ac:dyDescent="0.2">
      <c r="C1966" s="3"/>
      <c r="E1966" s="3"/>
      <c r="G1966" s="3"/>
      <c r="I1966" s="3"/>
      <c r="K1966" s="3"/>
      <c r="M1966" s="3"/>
      <c r="O1966" s="3"/>
      <c r="Q1966" s="3"/>
      <c r="S1966" s="3"/>
      <c r="U1966" s="3"/>
      <c r="V1966" s="3"/>
      <c r="W1966" s="3"/>
      <c r="X1966" s="3"/>
      <c r="Y1966" s="3"/>
    </row>
    <row r="1967" spans="3:25" x14ac:dyDescent="0.2">
      <c r="C1967" s="3"/>
      <c r="E1967" s="3"/>
      <c r="G1967" s="3"/>
      <c r="I1967" s="3"/>
      <c r="K1967" s="3"/>
      <c r="M1967" s="3"/>
      <c r="O1967" s="3"/>
      <c r="Q1967" s="3"/>
      <c r="S1967" s="3"/>
      <c r="U1967" s="3"/>
      <c r="V1967" s="3"/>
      <c r="W1967" s="3"/>
      <c r="X1967" s="3"/>
      <c r="Y1967" s="3"/>
    </row>
    <row r="1968" spans="3:25" x14ac:dyDescent="0.2">
      <c r="C1968" s="3"/>
      <c r="E1968" s="3"/>
      <c r="G1968" s="3"/>
      <c r="I1968" s="3"/>
      <c r="K1968" s="3"/>
      <c r="M1968" s="3"/>
      <c r="O1968" s="3"/>
      <c r="Q1968" s="3"/>
      <c r="S1968" s="3"/>
      <c r="U1968" s="3"/>
      <c r="V1968" s="3"/>
      <c r="W1968" s="3"/>
      <c r="X1968" s="3"/>
      <c r="Y1968" s="3"/>
    </row>
    <row r="1969" spans="3:25" x14ac:dyDescent="0.2">
      <c r="C1969" s="3"/>
      <c r="E1969" s="3"/>
      <c r="G1969" s="3"/>
      <c r="I1969" s="3"/>
      <c r="K1969" s="3"/>
      <c r="M1969" s="3"/>
      <c r="O1969" s="3"/>
      <c r="Q1969" s="3"/>
      <c r="S1969" s="3"/>
      <c r="U1969" s="3"/>
      <c r="V1969" s="3"/>
      <c r="W1969" s="3"/>
      <c r="X1969" s="3"/>
      <c r="Y1969" s="3"/>
    </row>
    <row r="1970" spans="3:25" x14ac:dyDescent="0.2">
      <c r="C1970" s="3"/>
      <c r="E1970" s="3"/>
      <c r="G1970" s="3"/>
      <c r="I1970" s="3"/>
      <c r="K1970" s="3"/>
      <c r="M1970" s="3"/>
      <c r="O1970" s="3"/>
      <c r="Q1970" s="3"/>
      <c r="S1970" s="3"/>
      <c r="U1970" s="3"/>
      <c r="V1970" s="3"/>
      <c r="W1970" s="3"/>
      <c r="X1970" s="3"/>
      <c r="Y1970" s="3"/>
    </row>
    <row r="1971" spans="3:25" x14ac:dyDescent="0.2">
      <c r="C1971" s="3"/>
      <c r="E1971" s="3"/>
      <c r="G1971" s="3"/>
      <c r="I1971" s="3"/>
      <c r="K1971" s="3"/>
      <c r="M1971" s="3"/>
      <c r="O1971" s="3"/>
      <c r="Q1971" s="3"/>
      <c r="S1971" s="3"/>
      <c r="U1971" s="3"/>
      <c r="V1971" s="3"/>
      <c r="W1971" s="3"/>
      <c r="X1971" s="3"/>
      <c r="Y1971" s="3"/>
    </row>
    <row r="1972" spans="3:25" x14ac:dyDescent="0.2">
      <c r="C1972" s="3"/>
      <c r="E1972" s="3"/>
      <c r="G1972" s="3"/>
      <c r="I1972" s="3"/>
      <c r="K1972" s="3"/>
      <c r="M1972" s="3"/>
      <c r="O1972" s="3"/>
      <c r="Q1972" s="3"/>
      <c r="S1972" s="3"/>
      <c r="U1972" s="3"/>
      <c r="V1972" s="3"/>
      <c r="W1972" s="3"/>
      <c r="X1972" s="3"/>
      <c r="Y1972" s="3"/>
    </row>
    <row r="1973" spans="3:25" x14ac:dyDescent="0.2">
      <c r="C1973" s="3"/>
      <c r="E1973" s="3"/>
      <c r="G1973" s="3"/>
      <c r="I1973" s="3"/>
      <c r="K1973" s="3"/>
      <c r="M1973" s="3"/>
      <c r="O1973" s="3"/>
      <c r="Q1973" s="3"/>
      <c r="S1973" s="3"/>
      <c r="U1973" s="3"/>
      <c r="V1973" s="3"/>
      <c r="W1973" s="3"/>
      <c r="X1973" s="3"/>
      <c r="Y1973" s="3"/>
    </row>
    <row r="1974" spans="3:25" x14ac:dyDescent="0.2">
      <c r="C1974" s="3"/>
      <c r="E1974" s="3"/>
      <c r="G1974" s="3"/>
      <c r="I1974" s="3"/>
      <c r="K1974" s="3"/>
      <c r="M1974" s="3"/>
      <c r="O1974" s="3"/>
      <c r="Q1974" s="3"/>
      <c r="S1974" s="3"/>
      <c r="U1974" s="3"/>
      <c r="V1974" s="3"/>
      <c r="W1974" s="3"/>
      <c r="X1974" s="3"/>
      <c r="Y1974" s="3"/>
    </row>
    <row r="1975" spans="3:25" x14ac:dyDescent="0.2">
      <c r="C1975" s="3"/>
      <c r="E1975" s="3"/>
      <c r="G1975" s="3"/>
      <c r="I1975" s="3"/>
      <c r="K1975" s="3"/>
      <c r="M1975" s="3"/>
      <c r="O1975" s="3"/>
      <c r="Q1975" s="3"/>
      <c r="S1975" s="3"/>
      <c r="U1975" s="3"/>
      <c r="V1975" s="3"/>
      <c r="W1975" s="3"/>
      <c r="X1975" s="3"/>
      <c r="Y1975" s="3"/>
    </row>
    <row r="1976" spans="3:25" x14ac:dyDescent="0.2">
      <c r="C1976" s="3"/>
      <c r="E1976" s="3"/>
      <c r="G1976" s="3"/>
      <c r="I1976" s="3"/>
      <c r="K1976" s="3"/>
      <c r="M1976" s="3"/>
      <c r="O1976" s="3"/>
      <c r="Q1976" s="3"/>
      <c r="S1976" s="3"/>
      <c r="U1976" s="3"/>
      <c r="V1976" s="3"/>
      <c r="W1976" s="3"/>
      <c r="X1976" s="3"/>
      <c r="Y1976" s="3"/>
    </row>
    <row r="1977" spans="3:25" x14ac:dyDescent="0.2">
      <c r="C1977" s="3"/>
      <c r="E1977" s="3"/>
      <c r="G1977" s="3"/>
      <c r="I1977" s="3"/>
      <c r="K1977" s="3"/>
      <c r="M1977" s="3"/>
      <c r="O1977" s="3"/>
      <c r="Q1977" s="3"/>
      <c r="S1977" s="3"/>
      <c r="U1977" s="3"/>
      <c r="V1977" s="3"/>
      <c r="W1977" s="3"/>
      <c r="X1977" s="3"/>
      <c r="Y1977" s="3"/>
    </row>
    <row r="1978" spans="3:25" x14ac:dyDescent="0.2">
      <c r="C1978" s="3"/>
      <c r="E1978" s="3"/>
      <c r="G1978" s="3"/>
      <c r="I1978" s="3"/>
      <c r="K1978" s="3"/>
      <c r="M1978" s="3"/>
      <c r="O1978" s="3"/>
      <c r="Q1978" s="3"/>
      <c r="S1978" s="3"/>
      <c r="U1978" s="3"/>
      <c r="V1978" s="3"/>
      <c r="W1978" s="3"/>
      <c r="X1978" s="3"/>
      <c r="Y1978" s="3"/>
    </row>
    <row r="1979" spans="3:25" x14ac:dyDescent="0.2">
      <c r="C1979" s="3"/>
      <c r="E1979" s="3"/>
      <c r="G1979" s="3"/>
      <c r="I1979" s="3"/>
      <c r="K1979" s="3"/>
      <c r="M1979" s="3"/>
      <c r="O1979" s="3"/>
      <c r="Q1979" s="3"/>
      <c r="S1979" s="3"/>
      <c r="U1979" s="3"/>
      <c r="V1979" s="3"/>
      <c r="W1979" s="3"/>
      <c r="X1979" s="3"/>
      <c r="Y1979" s="3"/>
    </row>
    <row r="1980" spans="3:25" x14ac:dyDescent="0.2">
      <c r="C1980" s="3"/>
      <c r="E1980" s="3"/>
      <c r="G1980" s="3"/>
      <c r="I1980" s="3"/>
      <c r="K1980" s="3"/>
      <c r="M1980" s="3"/>
      <c r="O1980" s="3"/>
      <c r="Q1980" s="3"/>
      <c r="S1980" s="3"/>
      <c r="U1980" s="3"/>
      <c r="V1980" s="3"/>
      <c r="W1980" s="3"/>
      <c r="X1980" s="3"/>
      <c r="Y1980" s="3"/>
    </row>
    <row r="1981" spans="3:25" x14ac:dyDescent="0.2">
      <c r="C1981" s="3"/>
      <c r="E1981" s="3"/>
      <c r="G1981" s="3"/>
      <c r="I1981" s="3"/>
      <c r="K1981" s="3"/>
      <c r="M1981" s="3"/>
      <c r="O1981" s="3"/>
      <c r="Q1981" s="3"/>
      <c r="S1981" s="3"/>
      <c r="U1981" s="3"/>
      <c r="V1981" s="3"/>
      <c r="W1981" s="3"/>
      <c r="X1981" s="3"/>
      <c r="Y1981" s="3"/>
    </row>
    <row r="1982" spans="3:25" x14ac:dyDescent="0.2">
      <c r="C1982" s="3"/>
      <c r="E1982" s="3"/>
      <c r="G1982" s="3"/>
      <c r="I1982" s="3"/>
      <c r="K1982" s="3"/>
      <c r="M1982" s="3"/>
      <c r="O1982" s="3"/>
      <c r="Q1982" s="3"/>
      <c r="S1982" s="3"/>
      <c r="U1982" s="3"/>
      <c r="V1982" s="3"/>
      <c r="W1982" s="3"/>
      <c r="X1982" s="3"/>
      <c r="Y1982" s="3"/>
    </row>
    <row r="1983" spans="3:25" x14ac:dyDescent="0.2">
      <c r="C1983" s="3"/>
      <c r="E1983" s="3"/>
      <c r="G1983" s="3"/>
      <c r="I1983" s="3"/>
      <c r="K1983" s="3"/>
      <c r="M1983" s="3"/>
      <c r="O1983" s="3"/>
      <c r="Q1983" s="3"/>
      <c r="S1983" s="3"/>
      <c r="U1983" s="3"/>
      <c r="V1983" s="3"/>
      <c r="W1983" s="3"/>
      <c r="X1983" s="3"/>
      <c r="Y1983" s="3"/>
    </row>
    <row r="1984" spans="3:25" x14ac:dyDescent="0.2">
      <c r="C1984" s="3"/>
      <c r="E1984" s="3"/>
      <c r="G1984" s="3"/>
      <c r="I1984" s="3"/>
      <c r="K1984" s="3"/>
      <c r="M1984" s="3"/>
      <c r="O1984" s="3"/>
      <c r="Q1984" s="3"/>
      <c r="S1984" s="3"/>
      <c r="U1984" s="3"/>
      <c r="V1984" s="3"/>
      <c r="W1984" s="3"/>
      <c r="X1984" s="3"/>
      <c r="Y1984" s="3"/>
    </row>
    <row r="1985" spans="3:25" x14ac:dyDescent="0.2">
      <c r="C1985" s="3"/>
      <c r="E1985" s="3"/>
      <c r="G1985" s="3"/>
      <c r="I1985" s="3"/>
      <c r="K1985" s="3"/>
      <c r="M1985" s="3"/>
      <c r="O1985" s="3"/>
      <c r="Q1985" s="3"/>
      <c r="S1985" s="3"/>
      <c r="U1985" s="3"/>
      <c r="V1985" s="3"/>
      <c r="W1985" s="3"/>
      <c r="X1985" s="3"/>
      <c r="Y1985" s="3"/>
    </row>
    <row r="1986" spans="3:25" x14ac:dyDescent="0.2">
      <c r="C1986" s="3"/>
      <c r="E1986" s="3"/>
      <c r="G1986" s="3"/>
      <c r="I1986" s="3"/>
      <c r="K1986" s="3"/>
      <c r="M1986" s="3"/>
      <c r="O1986" s="3"/>
      <c r="Q1986" s="3"/>
      <c r="S1986" s="3"/>
      <c r="U1986" s="3"/>
      <c r="V1986" s="3"/>
      <c r="W1986" s="3"/>
      <c r="X1986" s="3"/>
      <c r="Y1986" s="3"/>
    </row>
    <row r="1987" spans="3:25" x14ac:dyDescent="0.2">
      <c r="C1987" s="3"/>
      <c r="E1987" s="3"/>
      <c r="G1987" s="3"/>
      <c r="I1987" s="3"/>
      <c r="K1987" s="3"/>
      <c r="M1987" s="3"/>
      <c r="O1987" s="3"/>
      <c r="Q1987" s="3"/>
      <c r="S1987" s="3"/>
      <c r="U1987" s="3"/>
      <c r="V1987" s="3"/>
      <c r="W1987" s="3"/>
      <c r="X1987" s="3"/>
      <c r="Y1987" s="3"/>
    </row>
    <row r="1988" spans="3:25" x14ac:dyDescent="0.2">
      <c r="C1988" s="3"/>
      <c r="E1988" s="3"/>
      <c r="G1988" s="3"/>
      <c r="I1988" s="3"/>
      <c r="K1988" s="3"/>
      <c r="M1988" s="3"/>
      <c r="O1988" s="3"/>
      <c r="Q1988" s="3"/>
      <c r="S1988" s="3"/>
      <c r="U1988" s="3"/>
      <c r="V1988" s="3"/>
      <c r="W1988" s="3"/>
      <c r="X1988" s="3"/>
      <c r="Y1988" s="3"/>
    </row>
    <row r="1989" spans="3:25" x14ac:dyDescent="0.2">
      <c r="C1989" s="3"/>
      <c r="E1989" s="3"/>
      <c r="G1989" s="3"/>
      <c r="I1989" s="3"/>
      <c r="K1989" s="3"/>
      <c r="M1989" s="3"/>
      <c r="O1989" s="3"/>
      <c r="Q1989" s="3"/>
      <c r="S1989" s="3"/>
      <c r="U1989" s="3"/>
      <c r="V1989" s="3"/>
      <c r="W1989" s="3"/>
      <c r="X1989" s="3"/>
      <c r="Y1989" s="3"/>
    </row>
    <row r="1990" spans="3:25" x14ac:dyDescent="0.2">
      <c r="C1990" s="3"/>
      <c r="E1990" s="3"/>
      <c r="G1990" s="3"/>
      <c r="I1990" s="3"/>
      <c r="K1990" s="3"/>
      <c r="M1990" s="3"/>
      <c r="O1990" s="3"/>
      <c r="Q1990" s="3"/>
      <c r="S1990" s="3"/>
      <c r="U1990" s="3"/>
      <c r="V1990" s="3"/>
      <c r="W1990" s="3"/>
      <c r="X1990" s="3"/>
      <c r="Y1990" s="3"/>
    </row>
    <row r="1991" spans="3:25" x14ac:dyDescent="0.2">
      <c r="C1991" s="3"/>
      <c r="E1991" s="3"/>
      <c r="G1991" s="3"/>
      <c r="I1991" s="3"/>
      <c r="K1991" s="3"/>
      <c r="M1991" s="3"/>
      <c r="O1991" s="3"/>
      <c r="Q1991" s="3"/>
      <c r="S1991" s="3"/>
      <c r="U1991" s="3"/>
      <c r="V1991" s="3"/>
      <c r="W1991" s="3"/>
      <c r="X1991" s="3"/>
      <c r="Y1991" s="3"/>
    </row>
    <row r="1992" spans="3:25" x14ac:dyDescent="0.2">
      <c r="C1992" s="3"/>
      <c r="E1992" s="3"/>
      <c r="G1992" s="3"/>
      <c r="I1992" s="3"/>
      <c r="K1992" s="3"/>
      <c r="M1992" s="3"/>
      <c r="O1992" s="3"/>
      <c r="Q1992" s="3"/>
      <c r="S1992" s="3"/>
      <c r="U1992" s="3"/>
      <c r="V1992" s="3"/>
      <c r="W1992" s="3"/>
      <c r="X1992" s="3"/>
      <c r="Y1992" s="3"/>
    </row>
    <row r="1993" spans="3:25" x14ac:dyDescent="0.2">
      <c r="C1993" s="3"/>
      <c r="E1993" s="3"/>
      <c r="G1993" s="3"/>
      <c r="I1993" s="3"/>
      <c r="K1993" s="3"/>
      <c r="M1993" s="3"/>
      <c r="O1993" s="3"/>
      <c r="Q1993" s="3"/>
      <c r="S1993" s="3"/>
      <c r="U1993" s="3"/>
      <c r="V1993" s="3"/>
      <c r="W1993" s="3"/>
      <c r="X1993" s="3"/>
      <c r="Y1993" s="3"/>
    </row>
    <row r="1994" spans="3:25" x14ac:dyDescent="0.2">
      <c r="C1994" s="3"/>
      <c r="E1994" s="3"/>
      <c r="G1994" s="3"/>
      <c r="I1994" s="3"/>
      <c r="K1994" s="3"/>
      <c r="M1994" s="3"/>
      <c r="O1994" s="3"/>
      <c r="Q1994" s="3"/>
      <c r="S1994" s="3"/>
      <c r="U1994" s="3"/>
      <c r="V1994" s="3"/>
      <c r="W1994" s="3"/>
      <c r="X1994" s="3"/>
      <c r="Y1994" s="3"/>
    </row>
    <row r="1995" spans="3:25" x14ac:dyDescent="0.2">
      <c r="C1995" s="3"/>
      <c r="E1995" s="3"/>
      <c r="G1995" s="3"/>
      <c r="I1995" s="3"/>
      <c r="K1995" s="3"/>
      <c r="M1995" s="3"/>
      <c r="O1995" s="3"/>
      <c r="Q1995" s="3"/>
      <c r="S1995" s="3"/>
      <c r="U1995" s="3"/>
      <c r="V1995" s="3"/>
      <c r="W1995" s="3"/>
      <c r="X1995" s="3"/>
      <c r="Y1995" s="3"/>
    </row>
    <row r="1996" spans="3:25" x14ac:dyDescent="0.2">
      <c r="C1996" s="3"/>
      <c r="E1996" s="3"/>
      <c r="G1996" s="3"/>
      <c r="I1996" s="3"/>
      <c r="K1996" s="3"/>
      <c r="M1996" s="3"/>
      <c r="O1996" s="3"/>
      <c r="Q1996" s="3"/>
      <c r="S1996" s="3"/>
      <c r="U1996" s="3"/>
      <c r="V1996" s="3"/>
      <c r="W1996" s="3"/>
      <c r="X1996" s="3"/>
      <c r="Y1996" s="3"/>
    </row>
    <row r="1997" spans="3:25" x14ac:dyDescent="0.2">
      <c r="C1997" s="3"/>
      <c r="E1997" s="3"/>
      <c r="G1997" s="3"/>
      <c r="I1997" s="3"/>
      <c r="K1997" s="3"/>
      <c r="M1997" s="3"/>
      <c r="O1997" s="3"/>
      <c r="Q1997" s="3"/>
      <c r="S1997" s="3"/>
      <c r="U1997" s="3"/>
      <c r="V1997" s="3"/>
      <c r="W1997" s="3"/>
      <c r="X1997" s="3"/>
      <c r="Y1997" s="3"/>
    </row>
    <row r="1998" spans="3:25" x14ac:dyDescent="0.2">
      <c r="C1998" s="3"/>
      <c r="E1998" s="3"/>
      <c r="G1998" s="3"/>
      <c r="I1998" s="3"/>
      <c r="K1998" s="3"/>
      <c r="M1998" s="3"/>
      <c r="O1998" s="3"/>
      <c r="Q1998" s="3"/>
      <c r="S1998" s="3"/>
      <c r="U1998" s="3"/>
      <c r="V1998" s="3"/>
      <c r="W1998" s="3"/>
      <c r="X1998" s="3"/>
      <c r="Y1998" s="3"/>
    </row>
    <row r="1999" spans="3:25" x14ac:dyDescent="0.2">
      <c r="C1999" s="3"/>
      <c r="E1999" s="3"/>
      <c r="G1999" s="3"/>
      <c r="I1999" s="3"/>
      <c r="K1999" s="3"/>
      <c r="M1999" s="3"/>
      <c r="O1999" s="3"/>
      <c r="Q1999" s="3"/>
      <c r="S1999" s="3"/>
      <c r="U1999" s="3"/>
      <c r="V1999" s="3"/>
      <c r="W1999" s="3"/>
      <c r="X1999" s="3"/>
      <c r="Y1999" s="3"/>
    </row>
    <row r="2000" spans="3:25" x14ac:dyDescent="0.2">
      <c r="C2000" s="3"/>
      <c r="E2000" s="3"/>
      <c r="G2000" s="3"/>
      <c r="I2000" s="3"/>
      <c r="K2000" s="3"/>
      <c r="M2000" s="3"/>
      <c r="O2000" s="3"/>
      <c r="Q2000" s="3"/>
      <c r="S2000" s="3"/>
      <c r="U2000" s="3"/>
      <c r="V2000" s="3"/>
      <c r="W2000" s="3"/>
      <c r="X2000" s="3"/>
      <c r="Y2000" s="3"/>
    </row>
    <row r="2001" spans="3:25" x14ac:dyDescent="0.2">
      <c r="C2001" s="3"/>
      <c r="E2001" s="3"/>
      <c r="G2001" s="3"/>
      <c r="I2001" s="3"/>
      <c r="K2001" s="3"/>
      <c r="M2001" s="3"/>
      <c r="O2001" s="3"/>
      <c r="Q2001" s="3"/>
      <c r="S2001" s="3"/>
      <c r="U2001" s="3"/>
      <c r="V2001" s="3"/>
      <c r="W2001" s="3"/>
      <c r="X2001" s="3"/>
      <c r="Y2001" s="3"/>
    </row>
    <row r="2002" spans="3:25" x14ac:dyDescent="0.2">
      <c r="C2002" s="3"/>
      <c r="E2002" s="3"/>
      <c r="G2002" s="3"/>
      <c r="I2002" s="3"/>
      <c r="K2002" s="3"/>
      <c r="M2002" s="3"/>
      <c r="O2002" s="3"/>
      <c r="Q2002" s="3"/>
      <c r="S2002" s="3"/>
      <c r="U2002" s="3"/>
      <c r="V2002" s="3"/>
      <c r="W2002" s="3"/>
      <c r="X2002" s="3"/>
      <c r="Y2002" s="3"/>
    </row>
    <row r="2003" spans="3:25" x14ac:dyDescent="0.2">
      <c r="C2003" s="3"/>
      <c r="E2003" s="3"/>
      <c r="G2003" s="3"/>
      <c r="I2003" s="3"/>
      <c r="K2003" s="3"/>
      <c r="M2003" s="3"/>
      <c r="O2003" s="3"/>
      <c r="Q2003" s="3"/>
      <c r="S2003" s="3"/>
      <c r="U2003" s="3"/>
      <c r="V2003" s="3"/>
      <c r="W2003" s="3"/>
      <c r="X2003" s="3"/>
      <c r="Y2003" s="3"/>
    </row>
    <row r="2004" spans="3:25" x14ac:dyDescent="0.2">
      <c r="C2004" s="3"/>
      <c r="E2004" s="3"/>
      <c r="G2004" s="3"/>
      <c r="I2004" s="3"/>
      <c r="K2004" s="3"/>
      <c r="M2004" s="3"/>
      <c r="O2004" s="3"/>
      <c r="Q2004" s="3"/>
      <c r="S2004" s="3"/>
      <c r="U2004" s="3"/>
      <c r="V2004" s="3"/>
      <c r="W2004" s="3"/>
      <c r="X2004" s="3"/>
      <c r="Y2004" s="3"/>
    </row>
    <row r="2005" spans="3:25" x14ac:dyDescent="0.2">
      <c r="C2005" s="3"/>
      <c r="E2005" s="3"/>
      <c r="G2005" s="3"/>
      <c r="I2005" s="3"/>
      <c r="K2005" s="3"/>
      <c r="M2005" s="3"/>
      <c r="O2005" s="3"/>
      <c r="Q2005" s="3"/>
      <c r="S2005" s="3"/>
      <c r="U2005" s="3"/>
      <c r="V2005" s="3"/>
      <c r="W2005" s="3"/>
      <c r="X2005" s="3"/>
      <c r="Y2005" s="3"/>
    </row>
    <row r="2006" spans="3:25" x14ac:dyDescent="0.2">
      <c r="C2006" s="3"/>
      <c r="E2006" s="3"/>
      <c r="G2006" s="3"/>
      <c r="I2006" s="3"/>
      <c r="K2006" s="3"/>
      <c r="M2006" s="3"/>
      <c r="O2006" s="3"/>
      <c r="Q2006" s="3"/>
      <c r="S2006" s="3"/>
      <c r="U2006" s="3"/>
      <c r="V2006" s="3"/>
      <c r="W2006" s="3"/>
      <c r="X2006" s="3"/>
      <c r="Y2006" s="3"/>
    </row>
    <row r="2007" spans="3:25" x14ac:dyDescent="0.2">
      <c r="C2007" s="3"/>
      <c r="E2007" s="3"/>
      <c r="G2007" s="3"/>
      <c r="I2007" s="3"/>
      <c r="K2007" s="3"/>
      <c r="M2007" s="3"/>
      <c r="O2007" s="3"/>
      <c r="Q2007" s="3"/>
      <c r="S2007" s="3"/>
      <c r="U2007" s="3"/>
      <c r="V2007" s="3"/>
      <c r="W2007" s="3"/>
      <c r="X2007" s="3"/>
      <c r="Y2007" s="3"/>
    </row>
    <row r="2008" spans="3:25" x14ac:dyDescent="0.2">
      <c r="C2008" s="3"/>
      <c r="E2008" s="3"/>
      <c r="G2008" s="3"/>
      <c r="I2008" s="3"/>
      <c r="K2008" s="3"/>
      <c r="M2008" s="3"/>
      <c r="O2008" s="3"/>
      <c r="Q2008" s="3"/>
      <c r="S2008" s="3"/>
      <c r="U2008" s="3"/>
      <c r="V2008" s="3"/>
      <c r="W2008" s="3"/>
      <c r="X2008" s="3"/>
      <c r="Y2008" s="3"/>
    </row>
    <row r="2009" spans="3:25" x14ac:dyDescent="0.2">
      <c r="C2009" s="3"/>
      <c r="E2009" s="3"/>
      <c r="G2009" s="3"/>
      <c r="I2009" s="3"/>
      <c r="K2009" s="3"/>
      <c r="M2009" s="3"/>
      <c r="O2009" s="3"/>
      <c r="Q2009" s="3"/>
      <c r="S2009" s="3"/>
      <c r="U2009" s="3"/>
      <c r="V2009" s="3"/>
      <c r="W2009" s="3"/>
      <c r="X2009" s="3"/>
      <c r="Y2009" s="3"/>
    </row>
    <row r="2010" spans="3:25" x14ac:dyDescent="0.2">
      <c r="C2010" s="3"/>
      <c r="E2010" s="3"/>
      <c r="G2010" s="3"/>
      <c r="I2010" s="3"/>
      <c r="K2010" s="3"/>
      <c r="M2010" s="3"/>
      <c r="O2010" s="3"/>
      <c r="Q2010" s="3"/>
      <c r="S2010" s="3"/>
      <c r="U2010" s="3"/>
      <c r="V2010" s="3"/>
      <c r="W2010" s="3"/>
      <c r="X2010" s="3"/>
      <c r="Y2010" s="3"/>
    </row>
    <row r="2011" spans="3:25" x14ac:dyDescent="0.2">
      <c r="C2011" s="3"/>
      <c r="E2011" s="3"/>
      <c r="G2011" s="3"/>
      <c r="I2011" s="3"/>
      <c r="K2011" s="3"/>
      <c r="M2011" s="3"/>
      <c r="O2011" s="3"/>
      <c r="Q2011" s="3"/>
      <c r="S2011" s="3"/>
      <c r="U2011" s="3"/>
      <c r="V2011" s="3"/>
      <c r="W2011" s="3"/>
      <c r="X2011" s="3"/>
      <c r="Y2011" s="3"/>
    </row>
    <row r="2012" spans="3:25" x14ac:dyDescent="0.2">
      <c r="C2012" s="3"/>
      <c r="E2012" s="3"/>
      <c r="G2012" s="3"/>
      <c r="I2012" s="3"/>
      <c r="K2012" s="3"/>
      <c r="M2012" s="3"/>
      <c r="O2012" s="3"/>
      <c r="Q2012" s="3"/>
      <c r="S2012" s="3"/>
      <c r="U2012" s="3"/>
      <c r="V2012" s="3"/>
      <c r="W2012" s="3"/>
      <c r="X2012" s="3"/>
      <c r="Y2012" s="3"/>
    </row>
    <row r="2013" spans="3:25" x14ac:dyDescent="0.2">
      <c r="C2013" s="3"/>
      <c r="E2013" s="3"/>
      <c r="G2013" s="3"/>
      <c r="I2013" s="3"/>
      <c r="K2013" s="3"/>
      <c r="M2013" s="3"/>
      <c r="O2013" s="3"/>
      <c r="Q2013" s="3"/>
      <c r="S2013" s="3"/>
      <c r="U2013" s="3"/>
      <c r="V2013" s="3"/>
      <c r="W2013" s="3"/>
      <c r="X2013" s="3"/>
      <c r="Y2013" s="3"/>
    </row>
    <row r="2014" spans="3:25" x14ac:dyDescent="0.2">
      <c r="C2014" s="3"/>
      <c r="E2014" s="3"/>
      <c r="G2014" s="3"/>
      <c r="I2014" s="3"/>
      <c r="K2014" s="3"/>
      <c r="M2014" s="3"/>
      <c r="O2014" s="3"/>
      <c r="Q2014" s="3"/>
      <c r="S2014" s="3"/>
      <c r="U2014" s="3"/>
      <c r="V2014" s="3"/>
      <c r="W2014" s="3"/>
      <c r="X2014" s="3"/>
      <c r="Y2014" s="3"/>
    </row>
    <row r="2015" spans="3:25" x14ac:dyDescent="0.2">
      <c r="C2015" s="3"/>
      <c r="E2015" s="3"/>
      <c r="G2015" s="3"/>
      <c r="I2015" s="3"/>
      <c r="K2015" s="3"/>
      <c r="M2015" s="3"/>
      <c r="O2015" s="3"/>
      <c r="Q2015" s="3"/>
      <c r="S2015" s="3"/>
      <c r="U2015" s="3"/>
      <c r="V2015" s="3"/>
      <c r="W2015" s="3"/>
      <c r="X2015" s="3"/>
      <c r="Y2015" s="3"/>
    </row>
    <row r="2016" spans="3:25" x14ac:dyDescent="0.2">
      <c r="C2016" s="3"/>
      <c r="E2016" s="3"/>
      <c r="G2016" s="3"/>
      <c r="I2016" s="3"/>
      <c r="K2016" s="3"/>
      <c r="M2016" s="3"/>
      <c r="O2016" s="3"/>
      <c r="Q2016" s="3"/>
      <c r="S2016" s="3"/>
      <c r="U2016" s="3"/>
      <c r="V2016" s="3"/>
      <c r="W2016" s="3"/>
      <c r="X2016" s="3"/>
      <c r="Y2016" s="3"/>
    </row>
    <row r="2017" spans="3:25" x14ac:dyDescent="0.2">
      <c r="C2017" s="3"/>
      <c r="E2017" s="3"/>
      <c r="G2017" s="3"/>
      <c r="I2017" s="3"/>
      <c r="K2017" s="3"/>
      <c r="M2017" s="3"/>
      <c r="O2017" s="3"/>
      <c r="Q2017" s="3"/>
      <c r="S2017" s="3"/>
      <c r="U2017" s="3"/>
      <c r="V2017" s="3"/>
      <c r="W2017" s="3"/>
      <c r="X2017" s="3"/>
      <c r="Y2017" s="3"/>
    </row>
    <row r="2018" spans="3:25" x14ac:dyDescent="0.2">
      <c r="C2018" s="3"/>
      <c r="E2018" s="3"/>
      <c r="G2018" s="3"/>
      <c r="I2018" s="3"/>
      <c r="K2018" s="3"/>
      <c r="M2018" s="3"/>
      <c r="O2018" s="3"/>
      <c r="Q2018" s="3"/>
      <c r="S2018" s="3"/>
      <c r="U2018" s="3"/>
      <c r="V2018" s="3"/>
      <c r="W2018" s="3"/>
      <c r="X2018" s="3"/>
      <c r="Y2018" s="3"/>
    </row>
    <row r="2019" spans="3:25" x14ac:dyDescent="0.2">
      <c r="C2019" s="3"/>
      <c r="E2019" s="3"/>
      <c r="G2019" s="3"/>
      <c r="I2019" s="3"/>
      <c r="K2019" s="3"/>
      <c r="M2019" s="3"/>
      <c r="O2019" s="3"/>
      <c r="Q2019" s="3"/>
      <c r="S2019" s="3"/>
      <c r="U2019" s="3"/>
      <c r="V2019" s="3"/>
      <c r="W2019" s="3"/>
      <c r="X2019" s="3"/>
      <c r="Y2019" s="3"/>
    </row>
    <row r="2020" spans="3:25" x14ac:dyDescent="0.2">
      <c r="C2020" s="3"/>
      <c r="E2020" s="3"/>
      <c r="G2020" s="3"/>
      <c r="I2020" s="3"/>
      <c r="K2020" s="3"/>
      <c r="M2020" s="3"/>
      <c r="O2020" s="3"/>
      <c r="Q2020" s="3"/>
      <c r="S2020" s="3"/>
      <c r="U2020" s="3"/>
      <c r="V2020" s="3"/>
      <c r="W2020" s="3"/>
      <c r="X2020" s="3"/>
      <c r="Y2020" s="3"/>
    </row>
    <row r="2021" spans="3:25" x14ac:dyDescent="0.2">
      <c r="C2021" s="3"/>
      <c r="E2021" s="3"/>
      <c r="G2021" s="3"/>
      <c r="I2021" s="3"/>
      <c r="K2021" s="3"/>
      <c r="M2021" s="3"/>
      <c r="O2021" s="3"/>
      <c r="Q2021" s="3"/>
      <c r="S2021" s="3"/>
      <c r="U2021" s="3"/>
      <c r="V2021" s="3"/>
      <c r="W2021" s="3"/>
      <c r="X2021" s="3"/>
      <c r="Y2021" s="3"/>
    </row>
    <row r="2022" spans="3:25" x14ac:dyDescent="0.2">
      <c r="C2022" s="3"/>
      <c r="E2022" s="3"/>
      <c r="G2022" s="3"/>
      <c r="I2022" s="3"/>
      <c r="K2022" s="3"/>
      <c r="M2022" s="3"/>
      <c r="O2022" s="3"/>
      <c r="Q2022" s="3"/>
      <c r="S2022" s="3"/>
      <c r="U2022" s="3"/>
      <c r="V2022" s="3"/>
      <c r="W2022" s="3"/>
      <c r="X2022" s="3"/>
      <c r="Y2022" s="3"/>
    </row>
    <row r="2023" spans="3:25" x14ac:dyDescent="0.2">
      <c r="C2023" s="3"/>
      <c r="E2023" s="3"/>
      <c r="G2023" s="3"/>
      <c r="I2023" s="3"/>
      <c r="K2023" s="3"/>
      <c r="M2023" s="3"/>
      <c r="O2023" s="3"/>
      <c r="Q2023" s="3"/>
      <c r="S2023" s="3"/>
      <c r="U2023" s="3"/>
      <c r="V2023" s="3"/>
      <c r="W2023" s="3"/>
      <c r="X2023" s="3"/>
      <c r="Y2023" s="3"/>
    </row>
    <row r="2024" spans="3:25" x14ac:dyDescent="0.2">
      <c r="C2024" s="3"/>
      <c r="E2024" s="3"/>
      <c r="G2024" s="3"/>
      <c r="I2024" s="3"/>
      <c r="K2024" s="3"/>
      <c r="M2024" s="3"/>
      <c r="O2024" s="3"/>
      <c r="Q2024" s="3"/>
      <c r="S2024" s="3"/>
      <c r="U2024" s="3"/>
      <c r="V2024" s="3"/>
      <c r="W2024" s="3"/>
      <c r="X2024" s="3"/>
      <c r="Y2024" s="3"/>
    </row>
    <row r="2025" spans="3:25" x14ac:dyDescent="0.2">
      <c r="C2025" s="3"/>
      <c r="E2025" s="3"/>
      <c r="G2025" s="3"/>
      <c r="I2025" s="3"/>
      <c r="K2025" s="3"/>
      <c r="M2025" s="3"/>
      <c r="O2025" s="3"/>
      <c r="Q2025" s="3"/>
      <c r="S2025" s="3"/>
      <c r="U2025" s="3"/>
      <c r="V2025" s="3"/>
      <c r="W2025" s="3"/>
      <c r="X2025" s="3"/>
      <c r="Y2025" s="3"/>
    </row>
    <row r="2026" spans="3:25" x14ac:dyDescent="0.2">
      <c r="C2026" s="3"/>
      <c r="E2026" s="3"/>
      <c r="G2026" s="3"/>
      <c r="I2026" s="3"/>
      <c r="K2026" s="3"/>
      <c r="M2026" s="3"/>
      <c r="O2026" s="3"/>
      <c r="Q2026" s="3"/>
      <c r="S2026" s="3"/>
      <c r="U2026" s="3"/>
      <c r="V2026" s="3"/>
      <c r="W2026" s="3"/>
      <c r="X2026" s="3"/>
      <c r="Y2026" s="3"/>
    </row>
    <row r="2027" spans="3:25" x14ac:dyDescent="0.2">
      <c r="C2027" s="3"/>
      <c r="E2027" s="3"/>
      <c r="G2027" s="3"/>
      <c r="I2027" s="3"/>
      <c r="K2027" s="3"/>
      <c r="M2027" s="3"/>
      <c r="O2027" s="3"/>
      <c r="Q2027" s="3"/>
      <c r="S2027" s="3"/>
      <c r="U2027" s="3"/>
      <c r="V2027" s="3"/>
      <c r="W2027" s="3"/>
      <c r="X2027" s="3"/>
      <c r="Y2027" s="3"/>
    </row>
    <row r="2028" spans="3:25" x14ac:dyDescent="0.2">
      <c r="C2028" s="3"/>
      <c r="E2028" s="3"/>
      <c r="G2028" s="3"/>
      <c r="I2028" s="3"/>
      <c r="K2028" s="3"/>
      <c r="M2028" s="3"/>
      <c r="O2028" s="3"/>
      <c r="Q2028" s="3"/>
      <c r="S2028" s="3"/>
      <c r="U2028" s="3"/>
      <c r="V2028" s="3"/>
      <c r="W2028" s="3"/>
      <c r="X2028" s="3"/>
      <c r="Y2028" s="3"/>
    </row>
    <row r="2029" spans="3:25" x14ac:dyDescent="0.2">
      <c r="C2029" s="3"/>
      <c r="E2029" s="3"/>
      <c r="G2029" s="3"/>
      <c r="I2029" s="3"/>
      <c r="K2029" s="3"/>
      <c r="M2029" s="3"/>
      <c r="O2029" s="3"/>
      <c r="Q2029" s="3"/>
      <c r="S2029" s="3"/>
      <c r="U2029" s="3"/>
      <c r="V2029" s="3"/>
      <c r="W2029" s="3"/>
      <c r="X2029" s="3"/>
      <c r="Y2029" s="3"/>
    </row>
    <row r="2030" spans="3:25" x14ac:dyDescent="0.2">
      <c r="C2030" s="3"/>
      <c r="E2030" s="3"/>
      <c r="G2030" s="3"/>
      <c r="I2030" s="3"/>
      <c r="K2030" s="3"/>
      <c r="M2030" s="3"/>
      <c r="O2030" s="3"/>
      <c r="Q2030" s="3"/>
      <c r="S2030" s="3"/>
      <c r="U2030" s="3"/>
      <c r="V2030" s="3"/>
      <c r="W2030" s="3"/>
      <c r="X2030" s="3"/>
      <c r="Y2030" s="3"/>
    </row>
    <row r="2031" spans="3:25" x14ac:dyDescent="0.2">
      <c r="C2031" s="3"/>
      <c r="E2031" s="3"/>
      <c r="G2031" s="3"/>
      <c r="I2031" s="3"/>
      <c r="K2031" s="3"/>
      <c r="M2031" s="3"/>
      <c r="O2031" s="3"/>
      <c r="Q2031" s="3"/>
      <c r="S2031" s="3"/>
      <c r="U2031" s="3"/>
      <c r="V2031" s="3"/>
      <c r="W2031" s="3"/>
      <c r="X2031" s="3"/>
      <c r="Y2031" s="3"/>
    </row>
    <row r="2032" spans="3:25" x14ac:dyDescent="0.2">
      <c r="C2032" s="3"/>
      <c r="E2032" s="3"/>
      <c r="G2032" s="3"/>
      <c r="I2032" s="3"/>
      <c r="K2032" s="3"/>
      <c r="M2032" s="3"/>
      <c r="O2032" s="3"/>
      <c r="Q2032" s="3"/>
      <c r="S2032" s="3"/>
      <c r="U2032" s="3"/>
      <c r="V2032" s="3"/>
      <c r="W2032" s="3"/>
      <c r="X2032" s="3"/>
      <c r="Y2032" s="3"/>
    </row>
    <row r="2033" spans="3:25" x14ac:dyDescent="0.2">
      <c r="C2033" s="3"/>
      <c r="E2033" s="3"/>
      <c r="G2033" s="3"/>
      <c r="I2033" s="3"/>
      <c r="K2033" s="3"/>
      <c r="M2033" s="3"/>
      <c r="O2033" s="3"/>
      <c r="Q2033" s="3"/>
      <c r="S2033" s="3"/>
      <c r="U2033" s="3"/>
      <c r="V2033" s="3"/>
      <c r="W2033" s="3"/>
      <c r="X2033" s="3"/>
      <c r="Y2033" s="3"/>
    </row>
    <row r="2034" spans="3:25" x14ac:dyDescent="0.2">
      <c r="C2034" s="3"/>
      <c r="E2034" s="3"/>
      <c r="G2034" s="3"/>
      <c r="I2034" s="3"/>
      <c r="K2034" s="3"/>
      <c r="M2034" s="3"/>
      <c r="O2034" s="3"/>
      <c r="Q2034" s="3"/>
      <c r="S2034" s="3"/>
      <c r="U2034" s="3"/>
      <c r="V2034" s="3"/>
      <c r="W2034" s="3"/>
      <c r="X2034" s="3"/>
      <c r="Y2034" s="3"/>
    </row>
    <row r="2035" spans="3:25" x14ac:dyDescent="0.2">
      <c r="C2035" s="3"/>
      <c r="E2035" s="3"/>
      <c r="G2035" s="3"/>
      <c r="I2035" s="3"/>
      <c r="K2035" s="3"/>
      <c r="M2035" s="3"/>
      <c r="O2035" s="3"/>
      <c r="Q2035" s="3"/>
      <c r="S2035" s="3"/>
      <c r="U2035" s="3"/>
      <c r="V2035" s="3"/>
      <c r="W2035" s="3"/>
      <c r="X2035" s="3"/>
      <c r="Y2035" s="3"/>
    </row>
    <row r="2036" spans="3:25" x14ac:dyDescent="0.2">
      <c r="C2036" s="3"/>
      <c r="E2036" s="3"/>
      <c r="G2036" s="3"/>
      <c r="I2036" s="3"/>
      <c r="K2036" s="3"/>
      <c r="M2036" s="3"/>
      <c r="O2036" s="3"/>
      <c r="Q2036" s="3"/>
      <c r="S2036" s="3"/>
      <c r="U2036" s="3"/>
      <c r="V2036" s="3"/>
      <c r="W2036" s="3"/>
      <c r="X2036" s="3"/>
      <c r="Y2036" s="3"/>
    </row>
    <row r="2037" spans="3:25" x14ac:dyDescent="0.2">
      <c r="C2037" s="3"/>
      <c r="E2037" s="3"/>
      <c r="G2037" s="3"/>
      <c r="I2037" s="3"/>
      <c r="K2037" s="3"/>
      <c r="M2037" s="3"/>
      <c r="O2037" s="3"/>
      <c r="Q2037" s="3"/>
      <c r="S2037" s="3"/>
      <c r="U2037" s="3"/>
      <c r="V2037" s="3"/>
      <c r="W2037" s="3"/>
      <c r="X2037" s="3"/>
      <c r="Y2037" s="3"/>
    </row>
    <row r="2038" spans="3:25" x14ac:dyDescent="0.2">
      <c r="C2038" s="3"/>
      <c r="E2038" s="3"/>
      <c r="G2038" s="3"/>
      <c r="I2038" s="3"/>
      <c r="K2038" s="3"/>
      <c r="M2038" s="3"/>
      <c r="O2038" s="3"/>
      <c r="Q2038" s="3"/>
      <c r="S2038" s="3"/>
      <c r="U2038" s="3"/>
      <c r="V2038" s="3"/>
      <c r="W2038" s="3"/>
      <c r="X2038" s="3"/>
      <c r="Y2038" s="3"/>
    </row>
    <row r="2039" spans="3:25" x14ac:dyDescent="0.2">
      <c r="C2039" s="3"/>
      <c r="E2039" s="3"/>
      <c r="G2039" s="3"/>
      <c r="I2039" s="3"/>
      <c r="K2039" s="3"/>
      <c r="M2039" s="3"/>
      <c r="O2039" s="3"/>
      <c r="Q2039" s="3"/>
      <c r="S2039" s="3"/>
      <c r="U2039" s="3"/>
      <c r="V2039" s="3"/>
      <c r="W2039" s="3"/>
      <c r="X2039" s="3"/>
      <c r="Y2039" s="3"/>
    </row>
    <row r="2040" spans="3:25" x14ac:dyDescent="0.2">
      <c r="C2040" s="3"/>
      <c r="E2040" s="3"/>
      <c r="G2040" s="3"/>
      <c r="I2040" s="3"/>
      <c r="K2040" s="3"/>
      <c r="M2040" s="3"/>
      <c r="O2040" s="3"/>
      <c r="Q2040" s="3"/>
      <c r="S2040" s="3"/>
      <c r="U2040" s="3"/>
      <c r="V2040" s="3"/>
      <c r="W2040" s="3"/>
      <c r="X2040" s="3"/>
      <c r="Y2040" s="3"/>
    </row>
    <row r="2041" spans="3:25" x14ac:dyDescent="0.2">
      <c r="C2041" s="3"/>
      <c r="E2041" s="3"/>
      <c r="G2041" s="3"/>
      <c r="I2041" s="3"/>
      <c r="K2041" s="3"/>
      <c r="M2041" s="3"/>
      <c r="O2041" s="3"/>
      <c r="Q2041" s="3"/>
      <c r="S2041" s="3"/>
      <c r="U2041" s="3"/>
      <c r="V2041" s="3"/>
      <c r="W2041" s="3"/>
      <c r="X2041" s="3"/>
      <c r="Y2041" s="3"/>
    </row>
    <row r="2042" spans="3:25" x14ac:dyDescent="0.2">
      <c r="C2042" s="3"/>
      <c r="E2042" s="3"/>
      <c r="G2042" s="3"/>
      <c r="I2042" s="3"/>
      <c r="K2042" s="3"/>
      <c r="M2042" s="3"/>
      <c r="O2042" s="3"/>
      <c r="Q2042" s="3"/>
      <c r="S2042" s="3"/>
      <c r="U2042" s="3"/>
      <c r="V2042" s="3"/>
      <c r="W2042" s="3"/>
      <c r="X2042" s="3"/>
      <c r="Y2042" s="3"/>
    </row>
    <row r="2043" spans="3:25" x14ac:dyDescent="0.2">
      <c r="C2043" s="3"/>
      <c r="E2043" s="3"/>
      <c r="G2043" s="3"/>
      <c r="I2043" s="3"/>
      <c r="K2043" s="3"/>
      <c r="M2043" s="3"/>
      <c r="O2043" s="3"/>
      <c r="Q2043" s="3"/>
      <c r="S2043" s="3"/>
      <c r="U2043" s="3"/>
      <c r="V2043" s="3"/>
      <c r="W2043" s="3"/>
      <c r="X2043" s="3"/>
      <c r="Y2043" s="3"/>
    </row>
    <row r="2044" spans="3:25" x14ac:dyDescent="0.2">
      <c r="C2044" s="3"/>
      <c r="E2044" s="3"/>
      <c r="G2044" s="3"/>
      <c r="I2044" s="3"/>
      <c r="K2044" s="3"/>
      <c r="M2044" s="3"/>
      <c r="O2044" s="3"/>
      <c r="Q2044" s="3"/>
      <c r="S2044" s="3"/>
      <c r="U2044" s="3"/>
      <c r="V2044" s="3"/>
      <c r="W2044" s="3"/>
      <c r="X2044" s="3"/>
      <c r="Y2044" s="3"/>
    </row>
    <row r="2045" spans="3:25" x14ac:dyDescent="0.2">
      <c r="C2045" s="3"/>
      <c r="E2045" s="3"/>
      <c r="G2045" s="3"/>
      <c r="I2045" s="3"/>
      <c r="K2045" s="3"/>
      <c r="M2045" s="3"/>
      <c r="O2045" s="3"/>
      <c r="Q2045" s="3"/>
      <c r="S2045" s="3"/>
      <c r="U2045" s="3"/>
      <c r="V2045" s="3"/>
      <c r="W2045" s="3"/>
      <c r="X2045" s="3"/>
      <c r="Y2045" s="3"/>
    </row>
    <row r="2046" spans="3:25" x14ac:dyDescent="0.2">
      <c r="C2046" s="3"/>
      <c r="E2046" s="3"/>
      <c r="G2046" s="3"/>
      <c r="I2046" s="3"/>
      <c r="K2046" s="3"/>
      <c r="M2046" s="3"/>
      <c r="O2046" s="3"/>
      <c r="Q2046" s="3"/>
      <c r="S2046" s="3"/>
      <c r="U2046" s="3"/>
      <c r="V2046" s="3"/>
      <c r="W2046" s="3"/>
      <c r="X2046" s="3"/>
      <c r="Y2046" s="3"/>
    </row>
    <row r="2047" spans="3:25" x14ac:dyDescent="0.2">
      <c r="C2047" s="3"/>
      <c r="E2047" s="3"/>
      <c r="G2047" s="3"/>
      <c r="I2047" s="3"/>
      <c r="K2047" s="3"/>
      <c r="M2047" s="3"/>
      <c r="O2047" s="3"/>
      <c r="Q2047" s="3"/>
      <c r="S2047" s="3"/>
      <c r="U2047" s="3"/>
      <c r="V2047" s="3"/>
      <c r="W2047" s="3"/>
      <c r="X2047" s="3"/>
      <c r="Y2047" s="3"/>
    </row>
    <row r="2048" spans="3:25" x14ac:dyDescent="0.2">
      <c r="C2048" s="3"/>
      <c r="E2048" s="3"/>
      <c r="G2048" s="3"/>
      <c r="I2048" s="3"/>
      <c r="K2048" s="3"/>
      <c r="M2048" s="3"/>
      <c r="O2048" s="3"/>
      <c r="Q2048" s="3"/>
      <c r="S2048" s="3"/>
      <c r="U2048" s="3"/>
      <c r="V2048" s="3"/>
      <c r="W2048" s="3"/>
      <c r="X2048" s="3"/>
      <c r="Y2048" s="3"/>
    </row>
    <row r="2049" spans="3:25" x14ac:dyDescent="0.2">
      <c r="C2049" s="3"/>
      <c r="E2049" s="3"/>
      <c r="G2049" s="3"/>
      <c r="I2049" s="3"/>
      <c r="K2049" s="3"/>
      <c r="M2049" s="3"/>
      <c r="O2049" s="3"/>
      <c r="Q2049" s="3"/>
      <c r="S2049" s="3"/>
      <c r="U2049" s="3"/>
      <c r="V2049" s="3"/>
      <c r="W2049" s="3"/>
      <c r="X2049" s="3"/>
      <c r="Y2049" s="3"/>
    </row>
    <row r="2050" spans="3:25" x14ac:dyDescent="0.2">
      <c r="C2050" s="3"/>
      <c r="E2050" s="3"/>
      <c r="G2050" s="3"/>
      <c r="I2050" s="3"/>
      <c r="K2050" s="3"/>
      <c r="M2050" s="3"/>
      <c r="O2050" s="3"/>
      <c r="Q2050" s="3"/>
      <c r="S2050" s="3"/>
      <c r="U2050" s="3"/>
      <c r="V2050" s="3"/>
      <c r="W2050" s="3"/>
      <c r="X2050" s="3"/>
      <c r="Y2050" s="3"/>
    </row>
    <row r="2051" spans="3:25" x14ac:dyDescent="0.2">
      <c r="C2051" s="3"/>
      <c r="E2051" s="3"/>
      <c r="G2051" s="3"/>
      <c r="I2051" s="3"/>
      <c r="K2051" s="3"/>
      <c r="M2051" s="3"/>
      <c r="O2051" s="3"/>
      <c r="Q2051" s="3"/>
      <c r="S2051" s="3"/>
      <c r="U2051" s="3"/>
      <c r="V2051" s="3"/>
      <c r="W2051" s="3"/>
      <c r="X2051" s="3"/>
      <c r="Y2051" s="3"/>
    </row>
    <row r="2052" spans="3:25" x14ac:dyDescent="0.2">
      <c r="C2052" s="3"/>
      <c r="E2052" s="3"/>
      <c r="G2052" s="3"/>
      <c r="I2052" s="3"/>
      <c r="K2052" s="3"/>
      <c r="M2052" s="3"/>
      <c r="O2052" s="3"/>
      <c r="Q2052" s="3"/>
      <c r="S2052" s="3"/>
      <c r="U2052" s="3"/>
      <c r="V2052" s="3"/>
      <c r="W2052" s="3"/>
      <c r="X2052" s="3"/>
      <c r="Y2052" s="3"/>
    </row>
    <row r="2053" spans="3:25" x14ac:dyDescent="0.2">
      <c r="C2053" s="3"/>
      <c r="E2053" s="3"/>
      <c r="G2053" s="3"/>
      <c r="I2053" s="3"/>
      <c r="K2053" s="3"/>
      <c r="M2053" s="3"/>
      <c r="O2053" s="3"/>
      <c r="Q2053" s="3"/>
      <c r="S2053" s="3"/>
      <c r="U2053" s="3"/>
      <c r="V2053" s="3"/>
      <c r="W2053" s="3"/>
      <c r="X2053" s="3"/>
      <c r="Y2053" s="3"/>
    </row>
    <row r="2054" spans="3:25" x14ac:dyDescent="0.2">
      <c r="C2054" s="3"/>
      <c r="E2054" s="3"/>
      <c r="G2054" s="3"/>
      <c r="I2054" s="3"/>
      <c r="K2054" s="3"/>
      <c r="M2054" s="3"/>
      <c r="O2054" s="3"/>
      <c r="Q2054" s="3"/>
      <c r="S2054" s="3"/>
      <c r="U2054" s="3"/>
      <c r="V2054" s="3"/>
      <c r="W2054" s="3"/>
      <c r="X2054" s="3"/>
      <c r="Y2054" s="3"/>
    </row>
    <row r="2055" spans="3:25" x14ac:dyDescent="0.2">
      <c r="C2055" s="3"/>
      <c r="E2055" s="3"/>
      <c r="G2055" s="3"/>
      <c r="I2055" s="3"/>
      <c r="K2055" s="3"/>
      <c r="M2055" s="3"/>
      <c r="O2055" s="3"/>
      <c r="Q2055" s="3"/>
      <c r="S2055" s="3"/>
      <c r="U2055" s="3"/>
      <c r="V2055" s="3"/>
      <c r="W2055" s="3"/>
      <c r="X2055" s="3"/>
      <c r="Y2055" s="3"/>
    </row>
    <row r="2056" spans="3:25" x14ac:dyDescent="0.2">
      <c r="C2056" s="3"/>
      <c r="E2056" s="3"/>
      <c r="G2056" s="3"/>
      <c r="I2056" s="3"/>
      <c r="K2056" s="3"/>
      <c r="M2056" s="3"/>
      <c r="O2056" s="3"/>
      <c r="Q2056" s="3"/>
      <c r="S2056" s="3"/>
      <c r="U2056" s="3"/>
      <c r="V2056" s="3"/>
      <c r="W2056" s="3"/>
      <c r="X2056" s="3"/>
      <c r="Y2056" s="3"/>
    </row>
    <row r="2057" spans="3:25" x14ac:dyDescent="0.2">
      <c r="C2057" s="3"/>
      <c r="E2057" s="3"/>
      <c r="G2057" s="3"/>
      <c r="I2057" s="3"/>
      <c r="K2057" s="3"/>
      <c r="M2057" s="3"/>
      <c r="O2057" s="3"/>
      <c r="Q2057" s="3"/>
      <c r="S2057" s="3"/>
      <c r="U2057" s="3"/>
      <c r="V2057" s="3"/>
      <c r="W2057" s="3"/>
      <c r="X2057" s="3"/>
      <c r="Y2057" s="3"/>
    </row>
    <row r="2058" spans="3:25" x14ac:dyDescent="0.2">
      <c r="C2058" s="3"/>
      <c r="E2058" s="3"/>
      <c r="G2058" s="3"/>
      <c r="I2058" s="3"/>
      <c r="K2058" s="3"/>
      <c r="M2058" s="3"/>
      <c r="O2058" s="3"/>
      <c r="Q2058" s="3"/>
      <c r="S2058" s="3"/>
      <c r="U2058" s="3"/>
      <c r="V2058" s="3"/>
      <c r="W2058" s="3"/>
      <c r="X2058" s="3"/>
      <c r="Y2058" s="3"/>
    </row>
    <row r="2059" spans="3:25" x14ac:dyDescent="0.2">
      <c r="C2059" s="3"/>
      <c r="E2059" s="3"/>
      <c r="G2059" s="3"/>
      <c r="I2059" s="3"/>
      <c r="K2059" s="3"/>
      <c r="M2059" s="3"/>
      <c r="O2059" s="3"/>
      <c r="Q2059" s="3"/>
      <c r="S2059" s="3"/>
      <c r="U2059" s="3"/>
      <c r="V2059" s="3"/>
      <c r="W2059" s="3"/>
      <c r="X2059" s="3"/>
      <c r="Y2059" s="3"/>
    </row>
    <row r="2060" spans="3:25" x14ac:dyDescent="0.2">
      <c r="C2060" s="3"/>
      <c r="E2060" s="3"/>
      <c r="G2060" s="3"/>
      <c r="I2060" s="3"/>
      <c r="K2060" s="3"/>
      <c r="M2060" s="3"/>
      <c r="O2060" s="3"/>
      <c r="Q2060" s="3"/>
      <c r="S2060" s="3"/>
      <c r="U2060" s="3"/>
      <c r="V2060" s="3"/>
      <c r="W2060" s="3"/>
      <c r="X2060" s="3"/>
      <c r="Y2060" s="3"/>
    </row>
    <row r="2061" spans="3:25" x14ac:dyDescent="0.2">
      <c r="C2061" s="3"/>
      <c r="E2061" s="3"/>
      <c r="G2061" s="3"/>
      <c r="I2061" s="3"/>
      <c r="K2061" s="3"/>
      <c r="M2061" s="3"/>
      <c r="O2061" s="3"/>
      <c r="Q2061" s="3"/>
      <c r="S2061" s="3"/>
      <c r="U2061" s="3"/>
      <c r="V2061" s="3"/>
      <c r="W2061" s="3"/>
      <c r="X2061" s="3"/>
      <c r="Y2061" s="3"/>
    </row>
    <row r="2062" spans="3:25" x14ac:dyDescent="0.2">
      <c r="C2062" s="3"/>
      <c r="E2062" s="3"/>
      <c r="G2062" s="3"/>
      <c r="I2062" s="3"/>
      <c r="K2062" s="3"/>
      <c r="M2062" s="3"/>
      <c r="O2062" s="3"/>
      <c r="Q2062" s="3"/>
      <c r="S2062" s="3"/>
      <c r="U2062" s="3"/>
      <c r="V2062" s="3"/>
      <c r="W2062" s="3"/>
      <c r="X2062" s="3"/>
      <c r="Y2062" s="3"/>
    </row>
    <row r="2063" spans="3:25" x14ac:dyDescent="0.2">
      <c r="C2063" s="3"/>
      <c r="E2063" s="3"/>
      <c r="G2063" s="3"/>
      <c r="I2063" s="3"/>
      <c r="K2063" s="3"/>
      <c r="M2063" s="3"/>
      <c r="O2063" s="3"/>
      <c r="Q2063" s="3"/>
      <c r="S2063" s="3"/>
      <c r="U2063" s="3"/>
      <c r="V2063" s="3"/>
      <c r="W2063" s="3"/>
      <c r="X2063" s="3"/>
      <c r="Y2063" s="3"/>
    </row>
    <row r="2064" spans="3:25" x14ac:dyDescent="0.2">
      <c r="C2064" s="3"/>
      <c r="E2064" s="3"/>
      <c r="G2064" s="3"/>
      <c r="I2064" s="3"/>
      <c r="K2064" s="3"/>
      <c r="M2064" s="3"/>
      <c r="O2064" s="3"/>
      <c r="Q2064" s="3"/>
      <c r="S2064" s="3"/>
      <c r="U2064" s="3"/>
      <c r="V2064" s="3"/>
      <c r="W2064" s="3"/>
      <c r="X2064" s="3"/>
      <c r="Y2064" s="3"/>
    </row>
    <row r="2065" spans="3:25" x14ac:dyDescent="0.2">
      <c r="C2065" s="3"/>
      <c r="E2065" s="3"/>
      <c r="G2065" s="3"/>
      <c r="I2065" s="3"/>
      <c r="K2065" s="3"/>
      <c r="M2065" s="3"/>
      <c r="O2065" s="3"/>
      <c r="Q2065" s="3"/>
      <c r="S2065" s="3"/>
      <c r="U2065" s="3"/>
      <c r="V2065" s="3"/>
      <c r="W2065" s="3"/>
      <c r="X2065" s="3"/>
      <c r="Y2065" s="3"/>
    </row>
    <row r="2066" spans="3:25" x14ac:dyDescent="0.2">
      <c r="C2066" s="3"/>
      <c r="E2066" s="3"/>
      <c r="G2066" s="3"/>
      <c r="I2066" s="3"/>
      <c r="K2066" s="3"/>
      <c r="M2066" s="3"/>
      <c r="O2066" s="3"/>
      <c r="Q2066" s="3"/>
      <c r="S2066" s="3"/>
      <c r="U2066" s="3"/>
      <c r="V2066" s="3"/>
      <c r="W2066" s="3"/>
      <c r="X2066" s="3"/>
      <c r="Y2066" s="3"/>
    </row>
    <row r="2067" spans="3:25" x14ac:dyDescent="0.2">
      <c r="C2067" s="3"/>
      <c r="E2067" s="3"/>
      <c r="G2067" s="3"/>
      <c r="I2067" s="3"/>
      <c r="K2067" s="3"/>
      <c r="M2067" s="3"/>
      <c r="O2067" s="3"/>
      <c r="Q2067" s="3"/>
      <c r="S2067" s="3"/>
      <c r="U2067" s="3"/>
      <c r="V2067" s="3"/>
      <c r="W2067" s="3"/>
      <c r="X2067" s="3"/>
      <c r="Y2067" s="3"/>
    </row>
    <row r="2068" spans="3:25" x14ac:dyDescent="0.2">
      <c r="C2068" s="3"/>
      <c r="E2068" s="3"/>
      <c r="G2068" s="3"/>
      <c r="I2068" s="3"/>
      <c r="K2068" s="3"/>
      <c r="M2068" s="3"/>
      <c r="O2068" s="3"/>
      <c r="Q2068" s="3"/>
      <c r="S2068" s="3"/>
      <c r="U2068" s="3"/>
      <c r="V2068" s="3"/>
      <c r="W2068" s="3"/>
      <c r="X2068" s="3"/>
      <c r="Y2068" s="3"/>
    </row>
    <row r="2069" spans="3:25" x14ac:dyDescent="0.2">
      <c r="C2069" s="3"/>
      <c r="E2069" s="3"/>
      <c r="G2069" s="3"/>
      <c r="I2069" s="3"/>
      <c r="K2069" s="3"/>
      <c r="M2069" s="3"/>
      <c r="O2069" s="3"/>
      <c r="Q2069" s="3"/>
      <c r="S2069" s="3"/>
      <c r="U2069" s="3"/>
      <c r="V2069" s="3"/>
      <c r="W2069" s="3"/>
      <c r="X2069" s="3"/>
      <c r="Y2069" s="3"/>
    </row>
    <row r="2070" spans="3:25" x14ac:dyDescent="0.2">
      <c r="C2070" s="3"/>
      <c r="E2070" s="3"/>
      <c r="G2070" s="3"/>
      <c r="I2070" s="3"/>
      <c r="K2070" s="3"/>
      <c r="M2070" s="3"/>
      <c r="O2070" s="3"/>
      <c r="Q2070" s="3"/>
      <c r="S2070" s="3"/>
      <c r="U2070" s="3"/>
      <c r="V2070" s="3"/>
      <c r="W2070" s="3"/>
      <c r="X2070" s="3"/>
      <c r="Y2070" s="3"/>
    </row>
    <row r="2071" spans="3:25" x14ac:dyDescent="0.2">
      <c r="C2071" s="3"/>
      <c r="E2071" s="3"/>
      <c r="G2071" s="3"/>
      <c r="I2071" s="3"/>
      <c r="K2071" s="3"/>
      <c r="M2071" s="3"/>
      <c r="O2071" s="3"/>
      <c r="Q2071" s="3"/>
      <c r="S2071" s="3"/>
      <c r="U2071" s="3"/>
      <c r="V2071" s="3"/>
      <c r="W2071" s="3"/>
      <c r="X2071" s="3"/>
      <c r="Y2071" s="3"/>
    </row>
    <row r="2072" spans="3:25" x14ac:dyDescent="0.2">
      <c r="C2072" s="3"/>
      <c r="E2072" s="3"/>
      <c r="G2072" s="3"/>
      <c r="I2072" s="3"/>
      <c r="K2072" s="3"/>
      <c r="M2072" s="3"/>
      <c r="O2072" s="3"/>
      <c r="Q2072" s="3"/>
      <c r="S2072" s="3"/>
      <c r="U2072" s="3"/>
      <c r="V2072" s="3"/>
      <c r="W2072" s="3"/>
      <c r="X2072" s="3"/>
      <c r="Y2072" s="3"/>
    </row>
    <row r="2073" spans="3:25" x14ac:dyDescent="0.2">
      <c r="C2073" s="3"/>
      <c r="E2073" s="3"/>
      <c r="G2073" s="3"/>
      <c r="I2073" s="3"/>
      <c r="K2073" s="3"/>
      <c r="M2073" s="3"/>
      <c r="O2073" s="3"/>
      <c r="Q2073" s="3"/>
      <c r="S2073" s="3"/>
      <c r="U2073" s="3"/>
      <c r="V2073" s="3"/>
      <c r="W2073" s="3"/>
      <c r="X2073" s="3"/>
      <c r="Y2073" s="3"/>
    </row>
    <row r="2074" spans="3:25" x14ac:dyDescent="0.2">
      <c r="C2074" s="3"/>
      <c r="E2074" s="3"/>
      <c r="G2074" s="3"/>
      <c r="I2074" s="3"/>
      <c r="K2074" s="3"/>
      <c r="M2074" s="3"/>
      <c r="O2074" s="3"/>
      <c r="Q2074" s="3"/>
      <c r="S2074" s="3"/>
      <c r="U2074" s="3"/>
      <c r="V2074" s="3"/>
      <c r="W2074" s="3"/>
      <c r="X2074" s="3"/>
      <c r="Y2074" s="3"/>
    </row>
    <row r="2075" spans="3:25" x14ac:dyDescent="0.2">
      <c r="C2075" s="3"/>
      <c r="E2075" s="3"/>
      <c r="G2075" s="3"/>
      <c r="I2075" s="3"/>
      <c r="K2075" s="3"/>
      <c r="M2075" s="3"/>
      <c r="O2075" s="3"/>
      <c r="Q2075" s="3"/>
      <c r="S2075" s="3"/>
      <c r="U2075" s="3"/>
      <c r="V2075" s="3"/>
      <c r="W2075" s="3"/>
      <c r="X2075" s="3"/>
      <c r="Y2075" s="3"/>
    </row>
    <row r="2076" spans="3:25" x14ac:dyDescent="0.2">
      <c r="C2076" s="3"/>
      <c r="E2076" s="3"/>
      <c r="G2076" s="3"/>
      <c r="I2076" s="3"/>
      <c r="K2076" s="3"/>
      <c r="M2076" s="3"/>
      <c r="O2076" s="3"/>
      <c r="Q2076" s="3"/>
      <c r="S2076" s="3"/>
      <c r="U2076" s="3"/>
      <c r="V2076" s="3"/>
      <c r="W2076" s="3"/>
      <c r="X2076" s="3"/>
      <c r="Y2076" s="3"/>
    </row>
    <row r="2077" spans="3:25" x14ac:dyDescent="0.2">
      <c r="C2077" s="3"/>
      <c r="E2077" s="3"/>
      <c r="G2077" s="3"/>
      <c r="I2077" s="3"/>
      <c r="K2077" s="3"/>
      <c r="M2077" s="3"/>
      <c r="O2077" s="3"/>
      <c r="Q2077" s="3"/>
      <c r="S2077" s="3"/>
      <c r="U2077" s="3"/>
      <c r="V2077" s="3"/>
      <c r="W2077" s="3"/>
      <c r="X2077" s="3"/>
      <c r="Y2077" s="3"/>
    </row>
    <row r="2078" spans="3:25" x14ac:dyDescent="0.2">
      <c r="C2078" s="3"/>
      <c r="E2078" s="3"/>
      <c r="G2078" s="3"/>
      <c r="I2078" s="3"/>
      <c r="K2078" s="3"/>
      <c r="M2078" s="3"/>
      <c r="O2078" s="3"/>
      <c r="Q2078" s="3"/>
      <c r="S2078" s="3"/>
      <c r="U2078" s="3"/>
      <c r="V2078" s="3"/>
      <c r="W2078" s="3"/>
      <c r="X2078" s="3"/>
      <c r="Y2078" s="3"/>
    </row>
    <row r="2079" spans="3:25" x14ac:dyDescent="0.2">
      <c r="C2079" s="3"/>
      <c r="E2079" s="3"/>
      <c r="G2079" s="3"/>
      <c r="I2079" s="3"/>
      <c r="K2079" s="3"/>
      <c r="M2079" s="3"/>
      <c r="O2079" s="3"/>
      <c r="Q2079" s="3"/>
      <c r="S2079" s="3"/>
      <c r="U2079" s="3"/>
      <c r="V2079" s="3"/>
      <c r="W2079" s="3"/>
      <c r="X2079" s="3"/>
      <c r="Y2079" s="3"/>
    </row>
    <row r="2080" spans="3:25" x14ac:dyDescent="0.2">
      <c r="C2080" s="3"/>
      <c r="E2080" s="3"/>
      <c r="G2080" s="3"/>
      <c r="I2080" s="3"/>
      <c r="K2080" s="3"/>
      <c r="M2080" s="3"/>
      <c r="O2080" s="3"/>
      <c r="Q2080" s="3"/>
      <c r="S2080" s="3"/>
      <c r="U2080" s="3"/>
      <c r="V2080" s="3"/>
      <c r="W2080" s="3"/>
      <c r="X2080" s="3"/>
      <c r="Y2080" s="3"/>
    </row>
    <row r="2081" spans="3:25" x14ac:dyDescent="0.2">
      <c r="C2081" s="3"/>
      <c r="E2081" s="3"/>
      <c r="G2081" s="3"/>
      <c r="I2081" s="3"/>
      <c r="K2081" s="3"/>
      <c r="M2081" s="3"/>
      <c r="O2081" s="3"/>
      <c r="Q2081" s="3"/>
      <c r="S2081" s="3"/>
      <c r="U2081" s="3"/>
      <c r="V2081" s="3"/>
      <c r="W2081" s="3"/>
      <c r="X2081" s="3"/>
      <c r="Y2081" s="3"/>
    </row>
    <row r="2082" spans="3:25" x14ac:dyDescent="0.2">
      <c r="C2082" s="3"/>
      <c r="E2082" s="3"/>
      <c r="G2082" s="3"/>
      <c r="I2082" s="3"/>
      <c r="K2082" s="3"/>
      <c r="M2082" s="3"/>
      <c r="O2082" s="3"/>
      <c r="Q2082" s="3"/>
      <c r="S2082" s="3"/>
      <c r="U2082" s="3"/>
      <c r="V2082" s="3"/>
      <c r="W2082" s="3"/>
      <c r="X2082" s="3"/>
      <c r="Y2082" s="3"/>
    </row>
    <row r="2083" spans="3:25" x14ac:dyDescent="0.2">
      <c r="C2083" s="3"/>
      <c r="E2083" s="3"/>
      <c r="G2083" s="3"/>
      <c r="I2083" s="3"/>
      <c r="K2083" s="3"/>
      <c r="M2083" s="3"/>
      <c r="O2083" s="3"/>
      <c r="Q2083" s="3"/>
      <c r="S2083" s="3"/>
      <c r="U2083" s="3"/>
      <c r="V2083" s="3"/>
      <c r="W2083" s="3"/>
      <c r="X2083" s="3"/>
      <c r="Y2083" s="3"/>
    </row>
    <row r="2084" spans="3:25" x14ac:dyDescent="0.2">
      <c r="C2084" s="3"/>
      <c r="E2084" s="3"/>
      <c r="G2084" s="3"/>
      <c r="I2084" s="3"/>
      <c r="K2084" s="3"/>
      <c r="M2084" s="3"/>
      <c r="O2084" s="3"/>
      <c r="Q2084" s="3"/>
      <c r="S2084" s="3"/>
      <c r="U2084" s="3"/>
      <c r="V2084" s="3"/>
      <c r="W2084" s="3"/>
      <c r="X2084" s="3"/>
      <c r="Y2084" s="3"/>
    </row>
    <row r="2085" spans="3:25" x14ac:dyDescent="0.2">
      <c r="C2085" s="3"/>
      <c r="E2085" s="3"/>
      <c r="G2085" s="3"/>
      <c r="I2085" s="3"/>
      <c r="K2085" s="3"/>
      <c r="M2085" s="3"/>
      <c r="O2085" s="3"/>
      <c r="Q2085" s="3"/>
      <c r="S2085" s="3"/>
      <c r="U2085" s="3"/>
      <c r="V2085" s="3"/>
      <c r="W2085" s="3"/>
      <c r="X2085" s="3"/>
      <c r="Y2085" s="3"/>
    </row>
    <row r="2086" spans="3:25" x14ac:dyDescent="0.2">
      <c r="C2086" s="3"/>
      <c r="E2086" s="3"/>
      <c r="G2086" s="3"/>
      <c r="I2086" s="3"/>
      <c r="K2086" s="3"/>
      <c r="M2086" s="3"/>
      <c r="O2086" s="3"/>
      <c r="Q2086" s="3"/>
      <c r="S2086" s="3"/>
      <c r="U2086" s="3"/>
      <c r="V2086" s="3"/>
      <c r="W2086" s="3"/>
      <c r="X2086" s="3"/>
      <c r="Y2086" s="3"/>
    </row>
    <row r="2087" spans="3:25" x14ac:dyDescent="0.2">
      <c r="C2087" s="3"/>
      <c r="E2087" s="3"/>
      <c r="G2087" s="3"/>
      <c r="I2087" s="3"/>
      <c r="K2087" s="3"/>
      <c r="M2087" s="3"/>
      <c r="O2087" s="3"/>
      <c r="Q2087" s="3"/>
      <c r="S2087" s="3"/>
      <c r="U2087" s="3"/>
      <c r="V2087" s="3"/>
      <c r="W2087" s="3"/>
      <c r="X2087" s="3"/>
      <c r="Y2087" s="3"/>
    </row>
    <row r="2088" spans="3:25" x14ac:dyDescent="0.2">
      <c r="C2088" s="3"/>
      <c r="E2088" s="3"/>
      <c r="G2088" s="3"/>
      <c r="I2088" s="3"/>
      <c r="K2088" s="3"/>
      <c r="M2088" s="3"/>
      <c r="O2088" s="3"/>
      <c r="Q2088" s="3"/>
      <c r="S2088" s="3"/>
      <c r="U2088" s="3"/>
      <c r="V2088" s="3"/>
      <c r="W2088" s="3"/>
      <c r="X2088" s="3"/>
      <c r="Y2088" s="3"/>
    </row>
    <row r="2089" spans="3:25" x14ac:dyDescent="0.2">
      <c r="C2089" s="3"/>
      <c r="E2089" s="3"/>
      <c r="G2089" s="3"/>
      <c r="I2089" s="3"/>
      <c r="K2089" s="3"/>
      <c r="M2089" s="3"/>
      <c r="O2089" s="3"/>
      <c r="Q2089" s="3"/>
      <c r="S2089" s="3"/>
      <c r="U2089" s="3"/>
      <c r="V2089" s="3"/>
      <c r="W2089" s="3"/>
      <c r="X2089" s="3"/>
      <c r="Y2089" s="3"/>
    </row>
    <row r="2090" spans="3:25" x14ac:dyDescent="0.2">
      <c r="C2090" s="3"/>
      <c r="E2090" s="3"/>
      <c r="G2090" s="3"/>
      <c r="I2090" s="3"/>
      <c r="K2090" s="3"/>
      <c r="M2090" s="3"/>
      <c r="O2090" s="3"/>
      <c r="Q2090" s="3"/>
      <c r="S2090" s="3"/>
      <c r="U2090" s="3"/>
      <c r="V2090" s="3"/>
      <c r="W2090" s="3"/>
      <c r="X2090" s="3"/>
      <c r="Y2090" s="3"/>
    </row>
    <row r="2091" spans="3:25" x14ac:dyDescent="0.2">
      <c r="C2091" s="3"/>
      <c r="E2091" s="3"/>
      <c r="G2091" s="3"/>
      <c r="I2091" s="3"/>
      <c r="K2091" s="3"/>
      <c r="M2091" s="3"/>
      <c r="O2091" s="3"/>
      <c r="Q2091" s="3"/>
      <c r="S2091" s="3"/>
      <c r="U2091" s="3"/>
      <c r="V2091" s="3"/>
      <c r="W2091" s="3"/>
      <c r="X2091" s="3"/>
      <c r="Y2091" s="3"/>
    </row>
    <row r="2092" spans="3:25" x14ac:dyDescent="0.2">
      <c r="C2092" s="3"/>
      <c r="E2092" s="3"/>
      <c r="G2092" s="3"/>
      <c r="I2092" s="3"/>
      <c r="K2092" s="3"/>
      <c r="M2092" s="3"/>
      <c r="O2092" s="3"/>
      <c r="Q2092" s="3"/>
      <c r="S2092" s="3"/>
      <c r="U2092" s="3"/>
      <c r="V2092" s="3"/>
      <c r="W2092" s="3"/>
      <c r="X2092" s="3"/>
      <c r="Y2092" s="3"/>
    </row>
    <row r="2093" spans="3:25" x14ac:dyDescent="0.2">
      <c r="C2093" s="3"/>
      <c r="E2093" s="3"/>
      <c r="G2093" s="3"/>
      <c r="I2093" s="3"/>
      <c r="K2093" s="3"/>
      <c r="M2093" s="3"/>
      <c r="O2093" s="3"/>
      <c r="Q2093" s="3"/>
      <c r="S2093" s="3"/>
      <c r="U2093" s="3"/>
      <c r="V2093" s="3"/>
      <c r="W2093" s="3"/>
      <c r="X2093" s="3"/>
      <c r="Y2093" s="3"/>
    </row>
    <row r="2094" spans="3:25" x14ac:dyDescent="0.2">
      <c r="C2094" s="3"/>
      <c r="E2094" s="3"/>
      <c r="G2094" s="3"/>
      <c r="I2094" s="3"/>
      <c r="K2094" s="3"/>
      <c r="M2094" s="3"/>
      <c r="O2094" s="3"/>
      <c r="Q2094" s="3"/>
      <c r="S2094" s="3"/>
      <c r="U2094" s="3"/>
      <c r="V2094" s="3"/>
      <c r="W2094" s="3"/>
      <c r="X2094" s="3"/>
      <c r="Y2094" s="3"/>
    </row>
    <row r="2095" spans="3:25" x14ac:dyDescent="0.2">
      <c r="C2095" s="3"/>
      <c r="E2095" s="3"/>
      <c r="G2095" s="3"/>
      <c r="I2095" s="3"/>
      <c r="K2095" s="3"/>
      <c r="M2095" s="3"/>
      <c r="O2095" s="3"/>
      <c r="Q2095" s="3"/>
      <c r="S2095" s="3"/>
      <c r="U2095" s="3"/>
      <c r="V2095" s="3"/>
      <c r="W2095" s="3"/>
      <c r="X2095" s="3"/>
      <c r="Y2095" s="3"/>
    </row>
    <row r="2096" spans="3:25" x14ac:dyDescent="0.2">
      <c r="C2096" s="3"/>
      <c r="E2096" s="3"/>
      <c r="G2096" s="3"/>
      <c r="I2096" s="3"/>
      <c r="K2096" s="3"/>
      <c r="M2096" s="3"/>
      <c r="O2096" s="3"/>
      <c r="Q2096" s="3"/>
      <c r="S2096" s="3"/>
      <c r="U2096" s="3"/>
      <c r="V2096" s="3"/>
      <c r="W2096" s="3"/>
      <c r="X2096" s="3"/>
      <c r="Y2096" s="3"/>
    </row>
    <row r="2097" spans="3:25" x14ac:dyDescent="0.2">
      <c r="C2097" s="3"/>
      <c r="E2097" s="3"/>
      <c r="G2097" s="3"/>
      <c r="I2097" s="3"/>
      <c r="K2097" s="3"/>
      <c r="M2097" s="3"/>
      <c r="O2097" s="3"/>
      <c r="Q2097" s="3"/>
      <c r="S2097" s="3"/>
      <c r="U2097" s="3"/>
      <c r="V2097" s="3"/>
      <c r="W2097" s="3"/>
      <c r="X2097" s="3"/>
      <c r="Y2097" s="3"/>
    </row>
    <row r="2098" spans="3:25" x14ac:dyDescent="0.2">
      <c r="C2098" s="3"/>
      <c r="E2098" s="3"/>
      <c r="G2098" s="3"/>
      <c r="I2098" s="3"/>
      <c r="K2098" s="3"/>
      <c r="M2098" s="3"/>
      <c r="O2098" s="3"/>
      <c r="Q2098" s="3"/>
      <c r="S2098" s="3"/>
      <c r="U2098" s="3"/>
      <c r="V2098" s="3"/>
      <c r="W2098" s="3"/>
      <c r="X2098" s="3"/>
      <c r="Y2098" s="3"/>
    </row>
    <row r="2099" spans="3:25" x14ac:dyDescent="0.2">
      <c r="C2099" s="3"/>
      <c r="E2099" s="3"/>
      <c r="G2099" s="3"/>
      <c r="I2099" s="3"/>
      <c r="K2099" s="3"/>
      <c r="M2099" s="3"/>
      <c r="O2099" s="3"/>
      <c r="Q2099" s="3"/>
      <c r="S2099" s="3"/>
      <c r="U2099" s="3"/>
      <c r="V2099" s="3"/>
      <c r="W2099" s="3"/>
      <c r="X2099" s="3"/>
      <c r="Y2099" s="3"/>
    </row>
    <row r="2100" spans="3:25" x14ac:dyDescent="0.2">
      <c r="C2100" s="3"/>
      <c r="E2100" s="3"/>
      <c r="G2100" s="3"/>
      <c r="I2100" s="3"/>
      <c r="K2100" s="3"/>
      <c r="M2100" s="3"/>
      <c r="O2100" s="3"/>
      <c r="Q2100" s="3"/>
      <c r="S2100" s="3"/>
      <c r="U2100" s="3"/>
      <c r="V2100" s="3"/>
      <c r="W2100" s="3"/>
      <c r="X2100" s="3"/>
      <c r="Y2100" s="3"/>
    </row>
    <row r="2101" spans="3:25" x14ac:dyDescent="0.2">
      <c r="C2101" s="3"/>
      <c r="E2101" s="3"/>
      <c r="G2101" s="3"/>
      <c r="I2101" s="3"/>
      <c r="K2101" s="3"/>
      <c r="M2101" s="3"/>
      <c r="O2101" s="3"/>
      <c r="Q2101" s="3"/>
      <c r="S2101" s="3"/>
      <c r="U2101" s="3"/>
      <c r="V2101" s="3"/>
      <c r="W2101" s="3"/>
      <c r="X2101" s="3"/>
      <c r="Y2101" s="3"/>
    </row>
    <row r="2102" spans="3:25" x14ac:dyDescent="0.2">
      <c r="C2102" s="3"/>
      <c r="E2102" s="3"/>
      <c r="G2102" s="3"/>
      <c r="I2102" s="3"/>
      <c r="K2102" s="3"/>
      <c r="M2102" s="3"/>
      <c r="O2102" s="3"/>
      <c r="Q2102" s="3"/>
      <c r="S2102" s="3"/>
      <c r="U2102" s="3"/>
      <c r="V2102" s="3"/>
      <c r="W2102" s="3"/>
      <c r="X2102" s="3"/>
      <c r="Y2102" s="3"/>
    </row>
    <row r="2103" spans="3:25" x14ac:dyDescent="0.2">
      <c r="C2103" s="3"/>
      <c r="E2103" s="3"/>
      <c r="G2103" s="3"/>
      <c r="I2103" s="3"/>
      <c r="K2103" s="3"/>
      <c r="M2103" s="3"/>
      <c r="O2103" s="3"/>
      <c r="Q2103" s="3"/>
      <c r="S2103" s="3"/>
      <c r="U2103" s="3"/>
      <c r="V2103" s="3"/>
      <c r="W2103" s="3"/>
      <c r="X2103" s="3"/>
      <c r="Y2103" s="3"/>
    </row>
    <row r="2104" spans="3:25" x14ac:dyDescent="0.2">
      <c r="C2104" s="3"/>
      <c r="E2104" s="3"/>
      <c r="G2104" s="3"/>
      <c r="I2104" s="3"/>
      <c r="K2104" s="3"/>
      <c r="M2104" s="3"/>
      <c r="O2104" s="3"/>
      <c r="Q2104" s="3"/>
      <c r="S2104" s="3"/>
      <c r="U2104" s="3"/>
      <c r="V2104" s="3"/>
      <c r="W2104" s="3"/>
      <c r="X2104" s="3"/>
      <c r="Y2104" s="3"/>
    </row>
    <row r="2105" spans="3:25" x14ac:dyDescent="0.2">
      <c r="C2105" s="3"/>
      <c r="E2105" s="3"/>
      <c r="G2105" s="3"/>
      <c r="I2105" s="3"/>
      <c r="K2105" s="3"/>
      <c r="M2105" s="3"/>
      <c r="O2105" s="3"/>
      <c r="Q2105" s="3"/>
      <c r="S2105" s="3"/>
      <c r="U2105" s="3"/>
      <c r="V2105" s="3"/>
      <c r="W2105" s="3"/>
      <c r="X2105" s="3"/>
      <c r="Y2105" s="3"/>
    </row>
    <row r="2106" spans="3:25" x14ac:dyDescent="0.2">
      <c r="C2106" s="3"/>
      <c r="E2106" s="3"/>
      <c r="G2106" s="3"/>
      <c r="I2106" s="3"/>
      <c r="K2106" s="3"/>
      <c r="M2106" s="3"/>
      <c r="O2106" s="3"/>
      <c r="Q2106" s="3"/>
      <c r="S2106" s="3"/>
      <c r="U2106" s="3"/>
      <c r="V2106" s="3"/>
      <c r="W2106" s="3"/>
      <c r="X2106" s="3"/>
      <c r="Y2106" s="3"/>
    </row>
    <row r="2107" spans="3:25" x14ac:dyDescent="0.2">
      <c r="C2107" s="3"/>
      <c r="E2107" s="3"/>
      <c r="G2107" s="3"/>
      <c r="I2107" s="3"/>
      <c r="K2107" s="3"/>
      <c r="M2107" s="3"/>
      <c r="O2107" s="3"/>
      <c r="Q2107" s="3"/>
      <c r="S2107" s="3"/>
      <c r="U2107" s="3"/>
      <c r="V2107" s="3"/>
      <c r="W2107" s="3"/>
      <c r="X2107" s="3"/>
      <c r="Y2107" s="3"/>
    </row>
    <row r="2108" spans="3:25" x14ac:dyDescent="0.2">
      <c r="C2108" s="3"/>
      <c r="E2108" s="3"/>
      <c r="G2108" s="3"/>
      <c r="I2108" s="3"/>
      <c r="K2108" s="3"/>
      <c r="M2108" s="3"/>
      <c r="O2108" s="3"/>
      <c r="Q2108" s="3"/>
      <c r="S2108" s="3"/>
      <c r="U2108" s="3"/>
      <c r="V2108" s="3"/>
      <c r="W2108" s="3"/>
      <c r="X2108" s="3"/>
      <c r="Y2108" s="3"/>
    </row>
    <row r="2109" spans="3:25" x14ac:dyDescent="0.2">
      <c r="C2109" s="3"/>
      <c r="E2109" s="3"/>
      <c r="G2109" s="3"/>
      <c r="I2109" s="3"/>
      <c r="K2109" s="3"/>
      <c r="M2109" s="3"/>
      <c r="O2109" s="3"/>
      <c r="Q2109" s="3"/>
      <c r="S2109" s="3"/>
      <c r="U2109" s="3"/>
      <c r="V2109" s="3"/>
      <c r="W2109" s="3"/>
      <c r="X2109" s="3"/>
      <c r="Y2109" s="3"/>
    </row>
    <row r="2110" spans="3:25" x14ac:dyDescent="0.2">
      <c r="C2110" s="3"/>
      <c r="E2110" s="3"/>
      <c r="G2110" s="3"/>
      <c r="I2110" s="3"/>
      <c r="K2110" s="3"/>
      <c r="M2110" s="3"/>
      <c r="O2110" s="3"/>
      <c r="Q2110" s="3"/>
      <c r="S2110" s="3"/>
      <c r="U2110" s="3"/>
      <c r="V2110" s="3"/>
      <c r="W2110" s="3"/>
      <c r="X2110" s="3"/>
      <c r="Y2110" s="3"/>
    </row>
    <row r="2111" spans="3:25" x14ac:dyDescent="0.2">
      <c r="C2111" s="3"/>
      <c r="E2111" s="3"/>
      <c r="G2111" s="3"/>
      <c r="I2111" s="3"/>
      <c r="K2111" s="3"/>
      <c r="M2111" s="3"/>
      <c r="O2111" s="3"/>
      <c r="Q2111" s="3"/>
      <c r="S2111" s="3"/>
      <c r="U2111" s="3"/>
      <c r="V2111" s="3"/>
      <c r="W2111" s="3"/>
      <c r="X2111" s="3"/>
      <c r="Y2111" s="3"/>
    </row>
    <row r="2112" spans="3:25" x14ac:dyDescent="0.2">
      <c r="C2112" s="3"/>
      <c r="E2112" s="3"/>
      <c r="G2112" s="3"/>
      <c r="I2112" s="3"/>
      <c r="K2112" s="3"/>
      <c r="M2112" s="3"/>
      <c r="O2112" s="3"/>
      <c r="Q2112" s="3"/>
      <c r="S2112" s="3"/>
      <c r="U2112" s="3"/>
      <c r="V2112" s="3"/>
      <c r="W2112" s="3"/>
      <c r="X2112" s="3"/>
      <c r="Y2112" s="3"/>
    </row>
    <row r="2113" spans="3:25" x14ac:dyDescent="0.2">
      <c r="C2113" s="3"/>
      <c r="E2113" s="3"/>
      <c r="G2113" s="3"/>
      <c r="I2113" s="3"/>
      <c r="K2113" s="3"/>
      <c r="M2113" s="3"/>
      <c r="O2113" s="3"/>
      <c r="Q2113" s="3"/>
      <c r="S2113" s="3"/>
      <c r="U2113" s="3"/>
      <c r="V2113" s="3"/>
      <c r="W2113" s="3"/>
      <c r="X2113" s="3"/>
      <c r="Y2113" s="3"/>
    </row>
    <row r="2114" spans="3:25" x14ac:dyDescent="0.2">
      <c r="C2114" s="3"/>
      <c r="E2114" s="3"/>
      <c r="G2114" s="3"/>
      <c r="I2114" s="3"/>
      <c r="K2114" s="3"/>
      <c r="M2114" s="3"/>
      <c r="O2114" s="3"/>
      <c r="Q2114" s="3"/>
      <c r="S2114" s="3"/>
      <c r="U2114" s="3"/>
      <c r="V2114" s="3"/>
      <c r="W2114" s="3"/>
      <c r="X2114" s="3"/>
      <c r="Y2114" s="3"/>
    </row>
    <row r="2115" spans="3:25" x14ac:dyDescent="0.2">
      <c r="C2115" s="3"/>
      <c r="E2115" s="3"/>
      <c r="G2115" s="3"/>
      <c r="I2115" s="3"/>
      <c r="K2115" s="3"/>
      <c r="M2115" s="3"/>
      <c r="O2115" s="3"/>
      <c r="Q2115" s="3"/>
      <c r="S2115" s="3"/>
      <c r="U2115" s="3"/>
      <c r="V2115" s="3"/>
      <c r="W2115" s="3"/>
      <c r="X2115" s="3"/>
      <c r="Y2115" s="3"/>
    </row>
    <row r="2116" spans="3:25" x14ac:dyDescent="0.2">
      <c r="C2116" s="3"/>
      <c r="E2116" s="3"/>
      <c r="G2116" s="3"/>
      <c r="I2116" s="3"/>
      <c r="K2116" s="3"/>
      <c r="M2116" s="3"/>
      <c r="O2116" s="3"/>
      <c r="Q2116" s="3"/>
      <c r="S2116" s="3"/>
      <c r="U2116" s="3"/>
      <c r="V2116" s="3"/>
      <c r="W2116" s="3"/>
      <c r="X2116" s="3"/>
      <c r="Y2116" s="3"/>
    </row>
    <row r="2117" spans="3:25" x14ac:dyDescent="0.2">
      <c r="C2117" s="3"/>
      <c r="E2117" s="3"/>
      <c r="G2117" s="3"/>
      <c r="I2117" s="3"/>
      <c r="K2117" s="3"/>
      <c r="M2117" s="3"/>
      <c r="O2117" s="3"/>
      <c r="Q2117" s="3"/>
      <c r="S2117" s="3"/>
      <c r="U2117" s="3"/>
      <c r="V2117" s="3"/>
      <c r="W2117" s="3"/>
      <c r="X2117" s="3"/>
      <c r="Y2117" s="3"/>
    </row>
    <row r="2118" spans="3:25" x14ac:dyDescent="0.2">
      <c r="C2118" s="3"/>
      <c r="E2118" s="3"/>
      <c r="G2118" s="3"/>
      <c r="I2118" s="3"/>
      <c r="K2118" s="3"/>
      <c r="M2118" s="3"/>
      <c r="O2118" s="3"/>
      <c r="Q2118" s="3"/>
      <c r="S2118" s="3"/>
      <c r="U2118" s="3"/>
      <c r="V2118" s="3"/>
      <c r="W2118" s="3"/>
      <c r="X2118" s="3"/>
      <c r="Y2118" s="3"/>
    </row>
    <row r="2119" spans="3:25" x14ac:dyDescent="0.2">
      <c r="C2119" s="3"/>
      <c r="E2119" s="3"/>
      <c r="G2119" s="3"/>
      <c r="I2119" s="3"/>
      <c r="K2119" s="3"/>
      <c r="M2119" s="3"/>
      <c r="O2119" s="3"/>
      <c r="Q2119" s="3"/>
      <c r="S2119" s="3"/>
      <c r="U2119" s="3"/>
      <c r="V2119" s="3"/>
      <c r="W2119" s="3"/>
      <c r="X2119" s="3"/>
      <c r="Y2119" s="3"/>
    </row>
    <row r="2120" spans="3:25" x14ac:dyDescent="0.2">
      <c r="C2120" s="3"/>
      <c r="E2120" s="3"/>
      <c r="G2120" s="3"/>
      <c r="I2120" s="3"/>
      <c r="K2120" s="3"/>
      <c r="M2120" s="3"/>
      <c r="O2120" s="3"/>
      <c r="Q2120" s="3"/>
      <c r="S2120" s="3"/>
      <c r="U2120" s="3"/>
      <c r="V2120" s="3"/>
      <c r="W2120" s="3"/>
      <c r="X2120" s="3"/>
      <c r="Y2120" s="3"/>
    </row>
    <row r="2121" spans="3:25" x14ac:dyDescent="0.2">
      <c r="C2121" s="3"/>
      <c r="E2121" s="3"/>
      <c r="G2121" s="3"/>
      <c r="I2121" s="3"/>
      <c r="K2121" s="3"/>
      <c r="M2121" s="3"/>
      <c r="O2121" s="3"/>
      <c r="Q2121" s="3"/>
      <c r="S2121" s="3"/>
      <c r="U2121" s="3"/>
      <c r="V2121" s="3"/>
      <c r="W2121" s="3"/>
      <c r="X2121" s="3"/>
      <c r="Y2121" s="3"/>
    </row>
    <row r="2122" spans="3:25" x14ac:dyDescent="0.2">
      <c r="C2122" s="3"/>
      <c r="E2122" s="3"/>
      <c r="G2122" s="3"/>
      <c r="I2122" s="3"/>
      <c r="K2122" s="3"/>
      <c r="M2122" s="3"/>
      <c r="O2122" s="3"/>
      <c r="Q2122" s="3"/>
      <c r="S2122" s="3"/>
      <c r="U2122" s="3"/>
      <c r="V2122" s="3"/>
      <c r="W2122" s="3"/>
      <c r="X2122" s="3"/>
      <c r="Y2122" s="3"/>
    </row>
    <row r="2123" spans="3:25" x14ac:dyDescent="0.2">
      <c r="C2123" s="3"/>
      <c r="E2123" s="3"/>
      <c r="G2123" s="3"/>
      <c r="I2123" s="3"/>
      <c r="K2123" s="3"/>
      <c r="M2123" s="3"/>
      <c r="O2123" s="3"/>
      <c r="Q2123" s="3"/>
      <c r="S2123" s="3"/>
      <c r="U2123" s="3"/>
      <c r="V2123" s="3"/>
      <c r="W2123" s="3"/>
      <c r="X2123" s="3"/>
      <c r="Y2123" s="3"/>
    </row>
    <row r="2124" spans="3:25" x14ac:dyDescent="0.2">
      <c r="C2124" s="3"/>
      <c r="E2124" s="3"/>
      <c r="G2124" s="3"/>
      <c r="I2124" s="3"/>
      <c r="K2124" s="3"/>
      <c r="M2124" s="3"/>
      <c r="O2124" s="3"/>
      <c r="Q2124" s="3"/>
      <c r="S2124" s="3"/>
      <c r="U2124" s="3"/>
      <c r="V2124" s="3"/>
      <c r="W2124" s="3"/>
      <c r="X2124" s="3"/>
      <c r="Y2124" s="3"/>
    </row>
    <row r="2125" spans="3:25" x14ac:dyDescent="0.2">
      <c r="C2125" s="3"/>
      <c r="E2125" s="3"/>
      <c r="G2125" s="3"/>
      <c r="I2125" s="3"/>
      <c r="K2125" s="3"/>
      <c r="M2125" s="3"/>
      <c r="O2125" s="3"/>
      <c r="Q2125" s="3"/>
      <c r="S2125" s="3"/>
      <c r="U2125" s="3"/>
      <c r="V2125" s="3"/>
      <c r="W2125" s="3"/>
      <c r="X2125" s="3"/>
      <c r="Y2125" s="3"/>
    </row>
    <row r="2126" spans="3:25" x14ac:dyDescent="0.2">
      <c r="C2126" s="3"/>
      <c r="E2126" s="3"/>
      <c r="G2126" s="3"/>
      <c r="I2126" s="3"/>
      <c r="K2126" s="3"/>
      <c r="M2126" s="3"/>
      <c r="O2126" s="3"/>
      <c r="Q2126" s="3"/>
      <c r="S2126" s="3"/>
      <c r="U2126" s="3"/>
      <c r="V2126" s="3"/>
      <c r="W2126" s="3"/>
      <c r="X2126" s="3"/>
      <c r="Y2126" s="3"/>
    </row>
    <row r="2127" spans="3:25" x14ac:dyDescent="0.2">
      <c r="C2127" s="3"/>
      <c r="E2127" s="3"/>
      <c r="G2127" s="3"/>
      <c r="I2127" s="3"/>
      <c r="K2127" s="3"/>
      <c r="M2127" s="3"/>
      <c r="O2127" s="3"/>
      <c r="Q2127" s="3"/>
      <c r="S2127" s="3"/>
      <c r="U2127" s="3"/>
      <c r="V2127" s="3"/>
      <c r="W2127" s="3"/>
      <c r="X2127" s="3"/>
      <c r="Y2127" s="3"/>
    </row>
    <row r="2128" spans="3:25" x14ac:dyDescent="0.2">
      <c r="C2128" s="3"/>
      <c r="E2128" s="3"/>
      <c r="G2128" s="3"/>
      <c r="I2128" s="3"/>
      <c r="K2128" s="3"/>
      <c r="M2128" s="3"/>
      <c r="O2128" s="3"/>
      <c r="Q2128" s="3"/>
      <c r="S2128" s="3"/>
      <c r="U2128" s="3"/>
      <c r="V2128" s="3"/>
      <c r="W2128" s="3"/>
      <c r="X2128" s="3"/>
      <c r="Y2128" s="3"/>
    </row>
    <row r="2129" spans="3:25" x14ac:dyDescent="0.2">
      <c r="C2129" s="3"/>
      <c r="E2129" s="3"/>
      <c r="G2129" s="3"/>
      <c r="I2129" s="3"/>
      <c r="K2129" s="3"/>
      <c r="M2129" s="3"/>
      <c r="O2129" s="3"/>
      <c r="Q2129" s="3"/>
      <c r="S2129" s="3"/>
      <c r="U2129" s="3"/>
      <c r="V2129" s="3"/>
      <c r="W2129" s="3"/>
      <c r="X2129" s="3"/>
      <c r="Y2129" s="3"/>
    </row>
    <row r="2130" spans="3:25" x14ac:dyDescent="0.2">
      <c r="C2130" s="3"/>
      <c r="E2130" s="3"/>
      <c r="G2130" s="3"/>
      <c r="I2130" s="3"/>
      <c r="K2130" s="3"/>
      <c r="M2130" s="3"/>
      <c r="O2130" s="3"/>
      <c r="Q2130" s="3"/>
      <c r="S2130" s="3"/>
      <c r="U2130" s="3"/>
      <c r="V2130" s="3"/>
      <c r="W2130" s="3"/>
      <c r="X2130" s="3"/>
      <c r="Y2130" s="3"/>
    </row>
    <row r="2131" spans="3:25" x14ac:dyDescent="0.2">
      <c r="C2131" s="3"/>
      <c r="E2131" s="3"/>
      <c r="G2131" s="3"/>
      <c r="I2131" s="3"/>
      <c r="K2131" s="3"/>
      <c r="M2131" s="3"/>
      <c r="O2131" s="3"/>
      <c r="Q2131" s="3"/>
      <c r="S2131" s="3"/>
      <c r="U2131" s="3"/>
      <c r="V2131" s="3"/>
      <c r="W2131" s="3"/>
      <c r="X2131" s="3"/>
      <c r="Y2131" s="3"/>
    </row>
    <row r="2132" spans="3:25" x14ac:dyDescent="0.2">
      <c r="C2132" s="3"/>
      <c r="E2132" s="3"/>
      <c r="G2132" s="3"/>
      <c r="I2132" s="3"/>
      <c r="K2132" s="3"/>
      <c r="M2132" s="3"/>
      <c r="O2132" s="3"/>
      <c r="Q2132" s="3"/>
      <c r="S2132" s="3"/>
      <c r="U2132" s="3"/>
      <c r="V2132" s="3"/>
      <c r="W2132" s="3"/>
      <c r="X2132" s="3"/>
      <c r="Y2132" s="3"/>
    </row>
    <row r="2133" spans="3:25" x14ac:dyDescent="0.2">
      <c r="C2133" s="3"/>
      <c r="E2133" s="3"/>
      <c r="G2133" s="3"/>
      <c r="I2133" s="3"/>
      <c r="K2133" s="3"/>
      <c r="M2133" s="3"/>
      <c r="O2133" s="3"/>
      <c r="Q2133" s="3"/>
      <c r="S2133" s="3"/>
      <c r="U2133" s="3"/>
      <c r="V2133" s="3"/>
      <c r="W2133" s="3"/>
      <c r="X2133" s="3"/>
      <c r="Y2133" s="3"/>
    </row>
    <row r="2134" spans="3:25" x14ac:dyDescent="0.2">
      <c r="C2134" s="3"/>
      <c r="E2134" s="3"/>
      <c r="G2134" s="3"/>
      <c r="I2134" s="3"/>
      <c r="K2134" s="3"/>
      <c r="M2134" s="3"/>
      <c r="O2134" s="3"/>
      <c r="Q2134" s="3"/>
      <c r="S2134" s="3"/>
      <c r="U2134" s="3"/>
      <c r="V2134" s="3"/>
      <c r="W2134" s="3"/>
      <c r="X2134" s="3"/>
      <c r="Y2134" s="3"/>
    </row>
    <row r="2135" spans="3:25" x14ac:dyDescent="0.2">
      <c r="C2135" s="3"/>
      <c r="E2135" s="3"/>
      <c r="G2135" s="3"/>
      <c r="I2135" s="3"/>
      <c r="K2135" s="3"/>
      <c r="M2135" s="3"/>
      <c r="O2135" s="3"/>
      <c r="Q2135" s="3"/>
      <c r="S2135" s="3"/>
      <c r="U2135" s="3"/>
      <c r="V2135" s="3"/>
      <c r="W2135" s="3"/>
      <c r="X2135" s="3"/>
      <c r="Y2135" s="3"/>
    </row>
    <row r="2136" spans="3:25" x14ac:dyDescent="0.2">
      <c r="C2136" s="3"/>
      <c r="E2136" s="3"/>
      <c r="G2136" s="3"/>
      <c r="I2136" s="3"/>
      <c r="K2136" s="3"/>
      <c r="M2136" s="3"/>
      <c r="O2136" s="3"/>
      <c r="Q2136" s="3"/>
      <c r="S2136" s="3"/>
      <c r="U2136" s="3"/>
      <c r="V2136" s="3"/>
      <c r="W2136" s="3"/>
      <c r="X2136" s="3"/>
      <c r="Y2136" s="3"/>
    </row>
    <row r="2137" spans="3:25" x14ac:dyDescent="0.2">
      <c r="C2137" s="3"/>
      <c r="E2137" s="3"/>
      <c r="G2137" s="3"/>
      <c r="I2137" s="3"/>
      <c r="K2137" s="3"/>
      <c r="M2137" s="3"/>
      <c r="O2137" s="3"/>
      <c r="Q2137" s="3"/>
      <c r="S2137" s="3"/>
      <c r="U2137" s="3"/>
      <c r="V2137" s="3"/>
      <c r="W2137" s="3"/>
      <c r="X2137" s="3"/>
      <c r="Y2137" s="3"/>
    </row>
    <row r="2138" spans="3:25" x14ac:dyDescent="0.2">
      <c r="C2138" s="3"/>
      <c r="E2138" s="3"/>
      <c r="G2138" s="3"/>
      <c r="I2138" s="3"/>
      <c r="K2138" s="3"/>
      <c r="M2138" s="3"/>
      <c r="O2138" s="3"/>
      <c r="Q2138" s="3"/>
      <c r="S2138" s="3"/>
      <c r="U2138" s="3"/>
      <c r="V2138" s="3"/>
      <c r="W2138" s="3"/>
      <c r="X2138" s="3"/>
      <c r="Y2138" s="3"/>
    </row>
    <row r="2139" spans="3:25" x14ac:dyDescent="0.2">
      <c r="C2139" s="3"/>
      <c r="E2139" s="3"/>
      <c r="G2139" s="3"/>
      <c r="I2139" s="3"/>
      <c r="K2139" s="3"/>
      <c r="M2139" s="3"/>
      <c r="O2139" s="3"/>
      <c r="Q2139" s="3"/>
      <c r="S2139" s="3"/>
      <c r="U2139" s="3"/>
      <c r="V2139" s="3"/>
      <c r="W2139" s="3"/>
      <c r="X2139" s="3"/>
      <c r="Y2139" s="3"/>
    </row>
    <row r="2140" spans="3:25" x14ac:dyDescent="0.2">
      <c r="C2140" s="3"/>
      <c r="E2140" s="3"/>
      <c r="G2140" s="3"/>
      <c r="I2140" s="3"/>
      <c r="K2140" s="3"/>
      <c r="M2140" s="3"/>
      <c r="O2140" s="3"/>
      <c r="Q2140" s="3"/>
      <c r="S2140" s="3"/>
      <c r="U2140" s="3"/>
      <c r="V2140" s="3"/>
      <c r="W2140" s="3"/>
      <c r="X2140" s="3"/>
      <c r="Y2140" s="3"/>
    </row>
    <row r="2141" spans="3:25" x14ac:dyDescent="0.2">
      <c r="C2141" s="3"/>
      <c r="E2141" s="3"/>
      <c r="G2141" s="3"/>
      <c r="I2141" s="3"/>
      <c r="K2141" s="3"/>
      <c r="M2141" s="3"/>
      <c r="O2141" s="3"/>
      <c r="Q2141" s="3"/>
      <c r="S2141" s="3"/>
      <c r="U2141" s="3"/>
      <c r="V2141" s="3"/>
      <c r="W2141" s="3"/>
      <c r="X2141" s="3"/>
      <c r="Y2141" s="3"/>
    </row>
    <row r="2142" spans="3:25" x14ac:dyDescent="0.2">
      <c r="C2142" s="3"/>
      <c r="E2142" s="3"/>
      <c r="G2142" s="3"/>
      <c r="I2142" s="3"/>
      <c r="K2142" s="3"/>
      <c r="M2142" s="3"/>
      <c r="O2142" s="3"/>
      <c r="Q2142" s="3"/>
      <c r="S2142" s="3"/>
      <c r="U2142" s="3"/>
      <c r="V2142" s="3"/>
      <c r="W2142" s="3"/>
      <c r="X2142" s="3"/>
      <c r="Y2142" s="3"/>
    </row>
    <row r="2143" spans="3:25" x14ac:dyDescent="0.2">
      <c r="C2143" s="3"/>
      <c r="E2143" s="3"/>
      <c r="G2143" s="3"/>
      <c r="I2143" s="3"/>
      <c r="K2143" s="3"/>
      <c r="M2143" s="3"/>
      <c r="O2143" s="3"/>
      <c r="Q2143" s="3"/>
      <c r="S2143" s="3"/>
      <c r="U2143" s="3"/>
      <c r="V2143" s="3"/>
      <c r="W2143" s="3"/>
      <c r="X2143" s="3"/>
      <c r="Y2143" s="3"/>
    </row>
    <row r="2144" spans="3:25" x14ac:dyDescent="0.2">
      <c r="C2144" s="3"/>
      <c r="E2144" s="3"/>
      <c r="G2144" s="3"/>
      <c r="I2144" s="3"/>
      <c r="K2144" s="3"/>
      <c r="M2144" s="3"/>
      <c r="O2144" s="3"/>
      <c r="Q2144" s="3"/>
      <c r="S2144" s="3"/>
      <c r="U2144" s="3"/>
      <c r="V2144" s="3"/>
      <c r="W2144" s="3"/>
      <c r="X2144" s="3"/>
      <c r="Y2144" s="3"/>
    </row>
    <row r="2145" spans="3:25" x14ac:dyDescent="0.2">
      <c r="C2145" s="3"/>
      <c r="E2145" s="3"/>
      <c r="G2145" s="3"/>
      <c r="I2145" s="3"/>
      <c r="K2145" s="3"/>
      <c r="M2145" s="3"/>
      <c r="O2145" s="3"/>
      <c r="Q2145" s="3"/>
      <c r="S2145" s="3"/>
      <c r="U2145" s="3"/>
      <c r="V2145" s="3"/>
      <c r="W2145" s="3"/>
      <c r="X2145" s="3"/>
      <c r="Y2145" s="3"/>
    </row>
    <row r="2146" spans="3:25" x14ac:dyDescent="0.2">
      <c r="C2146" s="3"/>
      <c r="E2146" s="3"/>
      <c r="G2146" s="3"/>
      <c r="I2146" s="3"/>
      <c r="K2146" s="3"/>
      <c r="M2146" s="3"/>
      <c r="O2146" s="3"/>
      <c r="Q2146" s="3"/>
      <c r="S2146" s="3"/>
      <c r="U2146" s="3"/>
      <c r="V2146" s="3"/>
      <c r="W2146" s="3"/>
      <c r="X2146" s="3"/>
      <c r="Y2146" s="3"/>
    </row>
    <row r="2147" spans="3:25" x14ac:dyDescent="0.2">
      <c r="C2147" s="3"/>
      <c r="E2147" s="3"/>
      <c r="G2147" s="3"/>
      <c r="I2147" s="3"/>
      <c r="K2147" s="3"/>
      <c r="M2147" s="3"/>
      <c r="O2147" s="3"/>
      <c r="Q2147" s="3"/>
      <c r="S2147" s="3"/>
      <c r="U2147" s="3"/>
      <c r="V2147" s="3"/>
      <c r="W2147" s="3"/>
      <c r="X2147" s="3"/>
      <c r="Y2147" s="3"/>
    </row>
    <row r="2148" spans="3:25" x14ac:dyDescent="0.2">
      <c r="C2148" s="3"/>
      <c r="E2148" s="3"/>
      <c r="G2148" s="3"/>
      <c r="I2148" s="3"/>
      <c r="K2148" s="3"/>
      <c r="M2148" s="3"/>
      <c r="O2148" s="3"/>
      <c r="Q2148" s="3"/>
      <c r="S2148" s="3"/>
      <c r="U2148" s="3"/>
      <c r="V2148" s="3"/>
      <c r="W2148" s="3"/>
      <c r="X2148" s="3"/>
      <c r="Y2148" s="3"/>
    </row>
    <row r="2149" spans="3:25" x14ac:dyDescent="0.2">
      <c r="C2149" s="3"/>
      <c r="E2149" s="3"/>
      <c r="G2149" s="3"/>
      <c r="I2149" s="3"/>
      <c r="K2149" s="3"/>
      <c r="M2149" s="3"/>
      <c r="O2149" s="3"/>
      <c r="Q2149" s="3"/>
      <c r="S2149" s="3"/>
      <c r="U2149" s="3"/>
      <c r="V2149" s="3"/>
      <c r="W2149" s="3"/>
      <c r="X2149" s="3"/>
      <c r="Y2149" s="3"/>
    </row>
    <row r="2150" spans="3:25" x14ac:dyDescent="0.2">
      <c r="C2150" s="3"/>
      <c r="E2150" s="3"/>
      <c r="G2150" s="3"/>
      <c r="I2150" s="3"/>
      <c r="K2150" s="3"/>
      <c r="M2150" s="3"/>
      <c r="O2150" s="3"/>
      <c r="Q2150" s="3"/>
      <c r="S2150" s="3"/>
      <c r="U2150" s="3"/>
      <c r="V2150" s="3"/>
      <c r="W2150" s="3"/>
      <c r="X2150" s="3"/>
      <c r="Y2150" s="3"/>
    </row>
    <row r="2151" spans="3:25" x14ac:dyDescent="0.2">
      <c r="C2151" s="3"/>
      <c r="E2151" s="3"/>
      <c r="G2151" s="3"/>
      <c r="I2151" s="3"/>
      <c r="K2151" s="3"/>
      <c r="M2151" s="3"/>
      <c r="O2151" s="3"/>
      <c r="Q2151" s="3"/>
      <c r="S2151" s="3"/>
      <c r="U2151" s="3"/>
      <c r="V2151" s="3"/>
      <c r="W2151" s="3"/>
      <c r="X2151" s="3"/>
      <c r="Y2151" s="3"/>
    </row>
    <row r="2152" spans="3:25" x14ac:dyDescent="0.2">
      <c r="S2152" s="316"/>
    </row>
  </sheetData>
  <mergeCells count="82">
    <mergeCell ref="X1:Y1"/>
    <mergeCell ref="X14:Y14"/>
    <mergeCell ref="X5:Y5"/>
    <mergeCell ref="X101:Y101"/>
    <mergeCell ref="X179:Y179"/>
    <mergeCell ref="X131:Y131"/>
    <mergeCell ref="T184:U184"/>
    <mergeCell ref="Z1:AA1"/>
    <mergeCell ref="L1:M1"/>
    <mergeCell ref="N1:O1"/>
    <mergeCell ref="P1:Q1"/>
    <mergeCell ref="R1:S1"/>
    <mergeCell ref="T1:U1"/>
    <mergeCell ref="Z131:AA131"/>
    <mergeCell ref="L179:M179"/>
    <mergeCell ref="N179:O179"/>
    <mergeCell ref="P179:Q179"/>
    <mergeCell ref="R179:S179"/>
    <mergeCell ref="T179:U179"/>
    <mergeCell ref="Z179:AA179"/>
    <mergeCell ref="L131:M131"/>
    <mergeCell ref="N131:O131"/>
    <mergeCell ref="B179:C179"/>
    <mergeCell ref="D179:E179"/>
    <mergeCell ref="F179:G179"/>
    <mergeCell ref="H179:I179"/>
    <mergeCell ref="J179:K179"/>
    <mergeCell ref="P131:Q131"/>
    <mergeCell ref="R131:S131"/>
    <mergeCell ref="T131:U131"/>
    <mergeCell ref="B131:C131"/>
    <mergeCell ref="D131:E131"/>
    <mergeCell ref="F131:G131"/>
    <mergeCell ref="H131:I131"/>
    <mergeCell ref="J131:K131"/>
    <mergeCell ref="Z14:AA14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R101:S101"/>
    <mergeCell ref="T101:U101"/>
    <mergeCell ref="Z101:AA101"/>
    <mergeCell ref="L14:M14"/>
    <mergeCell ref="N14:O14"/>
    <mergeCell ref="P14:Q14"/>
    <mergeCell ref="R14:S14"/>
    <mergeCell ref="T14:U14"/>
    <mergeCell ref="B14:C14"/>
    <mergeCell ref="D14:E14"/>
    <mergeCell ref="F14:G14"/>
    <mergeCell ref="H14:I14"/>
    <mergeCell ref="J14:K14"/>
    <mergeCell ref="AB4:AB5"/>
    <mergeCell ref="B5:C5"/>
    <mergeCell ref="D5:E5"/>
    <mergeCell ref="F5:G5"/>
    <mergeCell ref="N5:O5"/>
    <mergeCell ref="H5:I5"/>
    <mergeCell ref="Z5:AA5"/>
    <mergeCell ref="L5:M5"/>
    <mergeCell ref="P5:Q5"/>
    <mergeCell ref="T5:U5"/>
    <mergeCell ref="R5:S5"/>
    <mergeCell ref="A3:B3"/>
    <mergeCell ref="A4:A5"/>
    <mergeCell ref="J5:K5"/>
    <mergeCell ref="B1:C1"/>
    <mergeCell ref="D1:E1"/>
    <mergeCell ref="F1:G1"/>
    <mergeCell ref="H1:I1"/>
    <mergeCell ref="J1:K1"/>
    <mergeCell ref="V1:W1"/>
    <mergeCell ref="V14:W14"/>
    <mergeCell ref="V101:W101"/>
    <mergeCell ref="V131:W131"/>
    <mergeCell ref="V179:W179"/>
    <mergeCell ref="V5:W5"/>
  </mergeCells>
  <pageMargins left="0.70866141732283472" right="0.70866141732283472" top="0.74803149606299213" bottom="0.74803149606299213" header="0.31496062992125984" footer="0.31496062992125984"/>
  <pageSetup paperSize="8" scale="46" fitToWidth="2" fitToHeight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5"/>
  <sheetViews>
    <sheetView workbookViewId="0">
      <selection activeCell="K21" sqref="K21"/>
    </sheetView>
  </sheetViews>
  <sheetFormatPr baseColWidth="10" defaultColWidth="8.83203125" defaultRowHeight="15" x14ac:dyDescent="0.2"/>
  <cols>
    <col min="1" max="1" width="4.1640625" style="16" bestFit="1" customWidth="1"/>
    <col min="2" max="2" width="47.5" style="20" customWidth="1"/>
    <col min="3" max="3" width="7.1640625" style="16" bestFit="1" customWidth="1"/>
    <col min="4" max="4" width="8.83203125" style="16" bestFit="1" customWidth="1"/>
    <col min="5" max="5" width="12.83203125" style="18" bestFit="1" customWidth="1"/>
    <col min="6" max="6" width="11.83203125" style="18" bestFit="1" customWidth="1"/>
    <col min="7" max="7" width="12.83203125" style="18" bestFit="1" customWidth="1"/>
    <col min="8" max="10" width="8.83203125" style="16"/>
    <col min="11" max="11" width="12.83203125" style="16" bestFit="1" customWidth="1"/>
    <col min="12" max="12" width="11.6640625" style="16" bestFit="1" customWidth="1"/>
    <col min="13" max="16384" width="8.83203125" style="16"/>
  </cols>
  <sheetData>
    <row r="1" spans="1:13" ht="17" thickBot="1" x14ac:dyDescent="0.25">
      <c r="B1" s="17" t="s">
        <v>127</v>
      </c>
      <c r="C1" s="16" t="s">
        <v>128</v>
      </c>
      <c r="D1" s="16" t="s">
        <v>129</v>
      </c>
      <c r="E1" s="18" t="s">
        <v>130</v>
      </c>
      <c r="F1" s="18" t="s">
        <v>131</v>
      </c>
      <c r="G1" s="18" t="s">
        <v>132</v>
      </c>
    </row>
    <row r="2" spans="1:13" ht="15" customHeight="1" x14ac:dyDescent="0.2">
      <c r="A2" s="103">
        <v>1</v>
      </c>
      <c r="B2" s="13" t="s">
        <v>281</v>
      </c>
      <c r="C2" s="99">
        <v>1</v>
      </c>
      <c r="D2" s="100" t="s">
        <v>134</v>
      </c>
      <c r="E2" s="101">
        <f>G2/1.27</f>
        <v>472440.94488188974</v>
      </c>
      <c r="F2" s="101">
        <f>G2-E2</f>
        <v>127559.05511811026</v>
      </c>
      <c r="G2" s="101">
        <v>600000</v>
      </c>
      <c r="H2" s="267"/>
      <c r="I2" s="267"/>
      <c r="J2" s="267"/>
    </row>
    <row r="3" spans="1:13" ht="15" customHeight="1" x14ac:dyDescent="0.2">
      <c r="A3" s="98">
        <v>2</v>
      </c>
      <c r="B3" s="13" t="s">
        <v>316</v>
      </c>
      <c r="C3" s="100">
        <v>1</v>
      </c>
      <c r="D3" s="100" t="s">
        <v>133</v>
      </c>
      <c r="E3" s="101">
        <f>G3/1.27</f>
        <v>1574803.1496062991</v>
      </c>
      <c r="F3" s="101">
        <f>G3-E3</f>
        <v>425196.85039370088</v>
      </c>
      <c r="G3" s="101">
        <v>2000000</v>
      </c>
      <c r="H3" s="267"/>
      <c r="I3" s="267"/>
      <c r="J3" s="267"/>
      <c r="K3" s="18"/>
    </row>
    <row r="4" spans="1:13" ht="16" x14ac:dyDescent="0.2">
      <c r="A4" s="98">
        <v>3</v>
      </c>
      <c r="B4" s="13" t="s">
        <v>315</v>
      </c>
      <c r="C4" s="99">
        <v>1</v>
      </c>
      <c r="D4" s="100" t="s">
        <v>133</v>
      </c>
      <c r="E4" s="101">
        <f>G4/1.27</f>
        <v>133858.26771653543</v>
      </c>
      <c r="F4" s="101">
        <f>G4-E4</f>
        <v>36141.732283464575</v>
      </c>
      <c r="G4" s="101">
        <v>170000</v>
      </c>
      <c r="H4" s="267"/>
      <c r="I4" s="267"/>
      <c r="J4" s="267"/>
    </row>
    <row r="5" spans="1:13" ht="16" x14ac:dyDescent="0.2">
      <c r="A5" s="98">
        <v>4</v>
      </c>
      <c r="B5" s="12" t="s">
        <v>292</v>
      </c>
      <c r="C5" s="99">
        <v>1</v>
      </c>
      <c r="D5" s="100" t="s">
        <v>133</v>
      </c>
      <c r="E5" s="101">
        <f>G5/1.27</f>
        <v>1968503.937007874</v>
      </c>
      <c r="F5" s="101">
        <f>G5-E5</f>
        <v>531496.06299212598</v>
      </c>
      <c r="G5" s="101">
        <v>2500000</v>
      </c>
      <c r="H5" s="267"/>
      <c r="I5" s="267"/>
      <c r="J5" s="267"/>
    </row>
    <row r="6" spans="1:13" ht="16" x14ac:dyDescent="0.2">
      <c r="A6" s="98">
        <v>5</v>
      </c>
      <c r="B6" s="13" t="s">
        <v>378</v>
      </c>
      <c r="C6" s="100">
        <v>2</v>
      </c>
      <c r="D6" s="100" t="s">
        <v>133</v>
      </c>
      <c r="E6" s="101">
        <f>G6/1.27</f>
        <v>236220.47244094487</v>
      </c>
      <c r="F6" s="101">
        <f>G6-E6</f>
        <v>63779.527559055132</v>
      </c>
      <c r="G6" s="101">
        <v>300000</v>
      </c>
      <c r="H6" s="267"/>
      <c r="I6" s="267"/>
      <c r="J6" s="267"/>
    </row>
    <row r="7" spans="1:13" ht="15" customHeight="1" x14ac:dyDescent="0.2">
      <c r="A7" s="98">
        <v>6</v>
      </c>
      <c r="B7" s="12" t="s">
        <v>379</v>
      </c>
      <c r="C7" s="100">
        <v>1</v>
      </c>
      <c r="D7" s="100" t="s">
        <v>133</v>
      </c>
      <c r="E7" s="101">
        <f>G7/1.27</f>
        <v>511811.02362204721</v>
      </c>
      <c r="F7" s="101">
        <f>G7-E7</f>
        <v>138188.97637795279</v>
      </c>
      <c r="G7" s="101">
        <v>650000</v>
      </c>
      <c r="H7" s="267"/>
      <c r="I7" s="267"/>
      <c r="J7" s="267"/>
      <c r="K7" s="18"/>
      <c r="L7" s="19"/>
    </row>
    <row r="8" spans="1:13" ht="16" customHeight="1" x14ac:dyDescent="0.2">
      <c r="A8" s="98">
        <v>7</v>
      </c>
      <c r="B8" s="12" t="s">
        <v>380</v>
      </c>
      <c r="C8" s="100">
        <v>5</v>
      </c>
      <c r="D8" s="100" t="s">
        <v>133</v>
      </c>
      <c r="E8" s="101">
        <f>G8/1.27</f>
        <v>102362.20472440944</v>
      </c>
      <c r="F8" s="101">
        <f>G8-E8</f>
        <v>27637.795275590557</v>
      </c>
      <c r="G8" s="101">
        <v>130000</v>
      </c>
      <c r="H8" s="267"/>
      <c r="I8" s="267"/>
      <c r="J8" s="267"/>
      <c r="K8" s="18"/>
      <c r="L8" s="19"/>
    </row>
    <row r="9" spans="1:13" ht="16" customHeight="1" x14ac:dyDescent="0.2">
      <c r="A9" s="98">
        <v>8</v>
      </c>
      <c r="B9" s="12"/>
      <c r="C9" s="100"/>
      <c r="D9" s="100"/>
      <c r="E9" s="101"/>
      <c r="F9" s="101"/>
      <c r="G9" s="101"/>
      <c r="H9" s="267"/>
      <c r="I9" s="267"/>
      <c r="J9" s="267"/>
      <c r="K9" s="18"/>
      <c r="L9" s="19"/>
    </row>
    <row r="10" spans="1:13" ht="16" customHeight="1" x14ac:dyDescent="0.2">
      <c r="A10" s="98">
        <v>9</v>
      </c>
      <c r="B10" s="6"/>
      <c r="C10" s="99"/>
      <c r="D10" s="100"/>
      <c r="E10" s="101"/>
      <c r="F10" s="101"/>
      <c r="G10" s="101"/>
      <c r="H10" s="267"/>
      <c r="I10" s="267"/>
      <c r="J10" s="516" t="s">
        <v>297</v>
      </c>
      <c r="K10" s="516"/>
      <c r="L10" s="516"/>
      <c r="M10" s="516"/>
    </row>
    <row r="11" spans="1:13" ht="16" customHeight="1" x14ac:dyDescent="0.2">
      <c r="A11" s="98">
        <v>10</v>
      </c>
      <c r="B11" s="13"/>
      <c r="C11" s="99"/>
      <c r="D11" s="100"/>
      <c r="E11" s="101"/>
      <c r="F11" s="101"/>
      <c r="G11" s="101"/>
      <c r="H11" s="267"/>
      <c r="I11" s="267"/>
      <c r="J11" s="516"/>
      <c r="K11" s="516"/>
      <c r="L11" s="516"/>
      <c r="M11" s="516"/>
    </row>
    <row r="12" spans="1:13" ht="16" customHeight="1" x14ac:dyDescent="0.2">
      <c r="A12" s="98">
        <v>11</v>
      </c>
      <c r="B12" s="13"/>
      <c r="C12" s="99"/>
      <c r="D12" s="100"/>
      <c r="E12" s="101"/>
      <c r="F12" s="101"/>
      <c r="G12" s="101"/>
      <c r="H12" s="267"/>
      <c r="I12" s="267"/>
      <c r="J12" s="516"/>
      <c r="K12" s="516"/>
      <c r="L12" s="516"/>
      <c r="M12" s="516"/>
    </row>
    <row r="13" spans="1:13" ht="16" customHeight="1" x14ac:dyDescent="0.2">
      <c r="A13" s="98">
        <v>12</v>
      </c>
      <c r="B13" s="13"/>
      <c r="C13" s="99"/>
      <c r="D13" s="100"/>
      <c r="E13" s="101"/>
      <c r="F13" s="101"/>
      <c r="G13" s="101"/>
      <c r="H13" s="267"/>
      <c r="I13" s="267"/>
      <c r="K13" s="16" t="s">
        <v>135</v>
      </c>
      <c r="L13" s="517">
        <f>G2+E3+E4+G5+(G6*2)+E7+(G8*5)</f>
        <v>6570472.4409448821</v>
      </c>
      <c r="M13" s="517"/>
    </row>
    <row r="14" spans="1:13" ht="16" customHeight="1" x14ac:dyDescent="0.2">
      <c r="A14" s="98">
        <v>13</v>
      </c>
      <c r="B14" s="13"/>
      <c r="C14" s="99"/>
      <c r="D14" s="100"/>
      <c r="E14" s="101"/>
      <c r="F14" s="101"/>
      <c r="G14" s="101"/>
      <c r="H14" s="267"/>
      <c r="I14" s="267"/>
      <c r="J14" s="267"/>
      <c r="K14" s="18"/>
      <c r="L14" s="19"/>
    </row>
    <row r="15" spans="1:13" ht="16" x14ac:dyDescent="0.2">
      <c r="A15" s="98">
        <v>14</v>
      </c>
      <c r="B15" s="13"/>
      <c r="C15" s="99"/>
      <c r="D15" s="100"/>
      <c r="E15" s="101"/>
      <c r="F15" s="101"/>
      <c r="G15" s="269"/>
      <c r="H15" s="102"/>
      <c r="I15" s="102"/>
      <c r="J15" s="102"/>
      <c r="K15" s="18"/>
      <c r="L15" s="19"/>
    </row>
    <row r="16" spans="1:13" ht="16" x14ac:dyDescent="0.2">
      <c r="A16" s="98">
        <v>15</v>
      </c>
      <c r="B16" s="13"/>
      <c r="C16" s="99"/>
      <c r="D16" s="100"/>
      <c r="E16" s="101"/>
      <c r="F16" s="101"/>
      <c r="G16" s="269"/>
      <c r="H16" s="102"/>
      <c r="I16" s="102"/>
      <c r="J16" s="102"/>
      <c r="K16" s="19"/>
      <c r="L16" s="18"/>
    </row>
    <row r="17" spans="1:12" x14ac:dyDescent="0.2">
      <c r="A17" s="98">
        <v>16</v>
      </c>
      <c r="B17" s="13"/>
      <c r="C17" s="99"/>
      <c r="D17" s="100"/>
      <c r="E17" s="101"/>
      <c r="F17" s="101"/>
      <c r="G17" s="269"/>
      <c r="H17" s="265"/>
      <c r="I17" s="265"/>
      <c r="J17" s="265"/>
      <c r="K17" s="18"/>
    </row>
    <row r="18" spans="1:12" x14ac:dyDescent="0.2">
      <c r="A18" s="98">
        <v>17</v>
      </c>
      <c r="B18" s="13"/>
      <c r="C18" s="99"/>
      <c r="D18" s="100"/>
      <c r="E18" s="101"/>
      <c r="F18" s="101"/>
      <c r="G18" s="269"/>
      <c r="H18" s="265"/>
      <c r="I18" s="265"/>
      <c r="J18" s="265"/>
    </row>
    <row r="19" spans="1:12" x14ac:dyDescent="0.2">
      <c r="A19" s="98">
        <v>18</v>
      </c>
      <c r="B19" s="13"/>
      <c r="C19" s="99"/>
      <c r="D19" s="100"/>
      <c r="E19" s="101"/>
      <c r="F19" s="101"/>
      <c r="G19" s="269"/>
      <c r="H19" s="265"/>
      <c r="I19" s="265"/>
      <c r="J19" s="265"/>
      <c r="K19" s="18"/>
    </row>
    <row r="20" spans="1:12" x14ac:dyDescent="0.2">
      <c r="A20" s="16">
        <v>19</v>
      </c>
      <c r="B20" s="12"/>
      <c r="C20" s="100"/>
      <c r="D20" s="100"/>
      <c r="E20" s="101"/>
      <c r="F20" s="101"/>
      <c r="G20" s="269"/>
      <c r="H20" s="265"/>
      <c r="I20" s="265"/>
      <c r="J20" s="265"/>
    </row>
    <row r="21" spans="1:12" x14ac:dyDescent="0.2">
      <c r="A21" s="98">
        <v>20</v>
      </c>
      <c r="B21" s="6"/>
      <c r="C21" s="266"/>
      <c r="D21" s="266"/>
      <c r="E21" s="339"/>
      <c r="F21" s="101"/>
      <c r="G21" s="269"/>
      <c r="H21" s="265"/>
      <c r="I21" s="265"/>
      <c r="J21" s="265"/>
    </row>
    <row r="22" spans="1:12" x14ac:dyDescent="0.2">
      <c r="A22" s="338">
        <v>21</v>
      </c>
      <c r="B22" s="6"/>
      <c r="C22" s="266"/>
      <c r="D22" s="266"/>
      <c r="E22" s="339"/>
      <c r="F22" s="101"/>
      <c r="G22" s="269"/>
      <c r="H22" s="265"/>
      <c r="I22" s="265"/>
      <c r="J22" s="265"/>
    </row>
    <row r="23" spans="1:12" x14ac:dyDescent="0.2">
      <c r="A23" s="100">
        <v>22</v>
      </c>
      <c r="B23" s="340"/>
      <c r="C23" s="100"/>
      <c r="D23" s="100"/>
      <c r="E23" s="339"/>
      <c r="F23" s="101"/>
      <c r="G23" s="269"/>
      <c r="H23" s="265"/>
      <c r="I23" s="265"/>
      <c r="J23" s="265"/>
      <c r="K23" s="18"/>
      <c r="L23" s="18"/>
    </row>
    <row r="25" spans="1:12" x14ac:dyDescent="0.2">
      <c r="A25" s="265"/>
      <c r="B25" s="265" t="s">
        <v>4</v>
      </c>
      <c r="C25" s="265"/>
      <c r="D25" s="265"/>
      <c r="E25" s="268">
        <f>SUM(E2:E24)</f>
        <v>5000000</v>
      </c>
      <c r="F25" s="268"/>
      <c r="G25" s="268">
        <f>SUM(G2:G24)</f>
        <v>6350000</v>
      </c>
      <c r="K25" s="18"/>
      <c r="L25" s="18"/>
    </row>
  </sheetData>
  <sortState xmlns:xlrd2="http://schemas.microsoft.com/office/spreadsheetml/2017/richdata2" ref="A18:G23">
    <sortCondition ref="A18:A23"/>
  </sortState>
  <mergeCells count="2">
    <mergeCell ref="J10:M12"/>
    <mergeCell ref="L13:M13"/>
  </mergeCells>
  <pageMargins left="0.7" right="0.7" top="0.75" bottom="0.75" header="0.3" footer="0.3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1001"/>
  <sheetViews>
    <sheetView topLeftCell="A27" workbookViewId="0">
      <selection activeCell="H46" sqref="H46"/>
    </sheetView>
  </sheetViews>
  <sheetFormatPr baseColWidth="10" defaultColWidth="15.1640625" defaultRowHeight="15" x14ac:dyDescent="0.2"/>
  <cols>
    <col min="1" max="1" width="8.5" customWidth="1"/>
    <col min="2" max="2" width="10.33203125" customWidth="1"/>
    <col min="3" max="3" width="12" bestFit="1" customWidth="1"/>
    <col min="4" max="4" width="13.6640625" customWidth="1"/>
    <col min="5" max="5" width="16.5" customWidth="1"/>
    <col min="6" max="6" width="14.1640625" customWidth="1"/>
    <col min="7" max="7" width="18.33203125" bestFit="1" customWidth="1"/>
    <col min="8" max="8" width="20.5" bestFit="1" customWidth="1"/>
    <col min="9" max="9" width="16.1640625" bestFit="1" customWidth="1"/>
    <col min="10" max="10" width="14" customWidth="1"/>
    <col min="11" max="11" width="12.6640625" customWidth="1"/>
    <col min="12" max="12" width="6.5" customWidth="1"/>
    <col min="13" max="13" width="7.5" customWidth="1"/>
    <col min="14" max="14" width="14.33203125" customWidth="1"/>
    <col min="15" max="21" width="7.5" customWidth="1"/>
  </cols>
  <sheetData>
    <row r="1" spans="1:55 16384:16384" x14ac:dyDescent="0.2">
      <c r="B1" t="s">
        <v>238</v>
      </c>
    </row>
    <row r="3" spans="1:55 16384:16384" x14ac:dyDescent="0.2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55 16384:16384" x14ac:dyDescent="0.2">
      <c r="A4" s="105"/>
      <c r="B4" s="105"/>
      <c r="C4" s="105"/>
      <c r="D4" s="105" t="s">
        <v>357</v>
      </c>
      <c r="E4" s="105"/>
      <c r="F4" s="105"/>
      <c r="G4" s="21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</row>
    <row r="5" spans="1:55 16384:16384" ht="15.75" customHeight="1" thickBot="1" x14ac:dyDescent="0.2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</row>
    <row r="6" spans="1:55 16384:16384" ht="16" thickBot="1" x14ac:dyDescent="0.25">
      <c r="A6" s="105"/>
      <c r="B6" s="520" t="s">
        <v>239</v>
      </c>
      <c r="C6" s="521"/>
      <c r="D6" s="522" t="s">
        <v>67</v>
      </c>
      <c r="E6" s="523"/>
      <c r="F6" s="524" t="s">
        <v>240</v>
      </c>
      <c r="G6" s="525"/>
      <c r="H6" s="106" t="s">
        <v>241</v>
      </c>
      <c r="I6" s="276" t="s">
        <v>242</v>
      </c>
      <c r="J6" s="526" t="s">
        <v>243</v>
      </c>
      <c r="K6" s="107" t="s">
        <v>244</v>
      </c>
      <c r="L6" s="105"/>
      <c r="M6" s="105"/>
      <c r="N6" s="105"/>
      <c r="O6" s="105"/>
      <c r="P6" s="105"/>
      <c r="Q6" s="105"/>
      <c r="R6" s="105"/>
      <c r="S6" s="105"/>
      <c r="T6" s="105"/>
      <c r="U6" s="105"/>
    </row>
    <row r="7" spans="1:55 16384:16384" ht="39.75" customHeight="1" thickBot="1" x14ac:dyDescent="0.25">
      <c r="A7" s="105"/>
      <c r="B7" s="396" t="s">
        <v>245</v>
      </c>
      <c r="C7" s="396" t="s">
        <v>246</v>
      </c>
      <c r="D7" s="397" t="s">
        <v>247</v>
      </c>
      <c r="E7" s="398" t="s">
        <v>248</v>
      </c>
      <c r="F7" s="399" t="s">
        <v>247</v>
      </c>
      <c r="G7" s="400" t="s">
        <v>248</v>
      </c>
      <c r="H7" s="108"/>
      <c r="I7" s="108"/>
      <c r="J7" s="527"/>
      <c r="K7" s="109" t="s">
        <v>249</v>
      </c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</row>
    <row r="8" spans="1:55 16384:16384" s="111" customFormat="1" ht="15.75" customHeight="1" x14ac:dyDescent="0.2">
      <c r="A8" s="112" t="s">
        <v>250</v>
      </c>
      <c r="B8" s="121">
        <v>58443</v>
      </c>
      <c r="C8" s="121">
        <v>59064</v>
      </c>
      <c r="D8" s="277"/>
      <c r="E8" s="277"/>
      <c r="F8" s="121">
        <v>967500</v>
      </c>
      <c r="G8" s="121">
        <v>2801080</v>
      </c>
      <c r="H8" s="113"/>
      <c r="I8" s="433">
        <f>[1]pénzforg.!$I$9</f>
        <v>5225853.6452585747</v>
      </c>
      <c r="J8" s="434">
        <v>3799766</v>
      </c>
      <c r="K8" s="110"/>
      <c r="M8" s="110"/>
      <c r="N8" s="174"/>
      <c r="O8" s="110"/>
      <c r="P8" s="110"/>
      <c r="Q8" s="110"/>
      <c r="R8" s="110"/>
      <c r="S8" s="110"/>
      <c r="T8" s="110"/>
      <c r="U8" s="110"/>
      <c r="XFD8" s="401">
        <f>SUM(B8:XFC8)</f>
        <v>12911706.645258576</v>
      </c>
    </row>
    <row r="9" spans="1:55 16384:16384" s="116" customFormat="1" ht="15.75" customHeight="1" x14ac:dyDescent="0.2">
      <c r="A9" s="114" t="s">
        <v>251</v>
      </c>
      <c r="B9" s="121">
        <v>57990</v>
      </c>
      <c r="C9" s="121">
        <v>58809</v>
      </c>
      <c r="D9" s="277"/>
      <c r="E9" s="277"/>
      <c r="F9" s="121">
        <v>1126730</v>
      </c>
      <c r="G9" s="121">
        <v>3058746</v>
      </c>
      <c r="H9" s="113"/>
      <c r="I9" s="433">
        <f>[1]pénzforg.!$I$9</f>
        <v>5225853.6452585747</v>
      </c>
      <c r="J9" s="278">
        <v>3988667</v>
      </c>
      <c r="K9" s="110"/>
      <c r="L9" s="111"/>
      <c r="M9" s="110"/>
      <c r="N9" s="174"/>
      <c r="O9" s="110"/>
      <c r="P9" s="110"/>
      <c r="Q9" s="110"/>
      <c r="R9" s="110"/>
      <c r="S9" s="110"/>
      <c r="T9" s="110"/>
      <c r="U9" s="110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</row>
    <row r="10" spans="1:55 16384:16384" s="111" customFormat="1" ht="15.75" customHeight="1" x14ac:dyDescent="0.2">
      <c r="A10" s="117" t="s">
        <v>252</v>
      </c>
      <c r="B10" s="121">
        <v>62468</v>
      </c>
      <c r="C10" s="121">
        <v>63605</v>
      </c>
      <c r="D10" s="277"/>
      <c r="E10" s="277"/>
      <c r="F10" s="121">
        <v>1256832</v>
      </c>
      <c r="G10" s="121">
        <v>3192067</v>
      </c>
      <c r="H10" s="113"/>
      <c r="I10" s="433">
        <f>[1]pénzforg.!$I$9</f>
        <v>5225853.6452585747</v>
      </c>
      <c r="J10" s="278">
        <v>3611839</v>
      </c>
      <c r="K10" s="110"/>
      <c r="M10" s="110"/>
      <c r="N10" s="174"/>
      <c r="O10" s="110"/>
      <c r="P10" s="110"/>
      <c r="Q10" s="110"/>
      <c r="R10" s="110"/>
      <c r="S10" s="110"/>
      <c r="T10" s="110"/>
      <c r="U10" s="110"/>
    </row>
    <row r="11" spans="1:55 16384:16384" s="111" customFormat="1" ht="15.75" customHeight="1" x14ac:dyDescent="0.2">
      <c r="A11" s="112" t="s">
        <v>253</v>
      </c>
      <c r="B11" s="121">
        <v>42350</v>
      </c>
      <c r="C11" s="121">
        <v>42800</v>
      </c>
      <c r="D11" s="277"/>
      <c r="E11" s="277"/>
      <c r="F11" s="121">
        <v>805743</v>
      </c>
      <c r="G11" s="121">
        <v>2019668</v>
      </c>
      <c r="H11" s="113"/>
      <c r="I11" s="433">
        <f>[1]pénzforg.!$I$9</f>
        <v>5225853.6452585747</v>
      </c>
      <c r="J11" s="278">
        <v>2785145</v>
      </c>
      <c r="K11" s="110"/>
      <c r="M11" s="110"/>
      <c r="N11" s="174"/>
      <c r="O11" s="110"/>
      <c r="P11" s="110"/>
      <c r="Q11" s="110"/>
      <c r="R11" s="110"/>
      <c r="S11" s="110"/>
      <c r="T11" s="110"/>
      <c r="U11" s="110"/>
    </row>
    <row r="12" spans="1:55 16384:16384" s="111" customFormat="1" ht="15.75" customHeight="1" x14ac:dyDescent="0.2">
      <c r="A12" s="112" t="s">
        <v>254</v>
      </c>
      <c r="B12" s="121">
        <v>94864</v>
      </c>
      <c r="C12" s="121">
        <v>95872</v>
      </c>
      <c r="D12" s="277"/>
      <c r="E12" s="277"/>
      <c r="F12" s="121">
        <v>1282189</v>
      </c>
      <c r="G12" s="121">
        <v>3039210</v>
      </c>
      <c r="H12" s="113"/>
      <c r="I12" s="433">
        <f>[1]pénzforg.!$I$9</f>
        <v>5225853.6452585747</v>
      </c>
      <c r="J12" s="278">
        <v>3830575</v>
      </c>
      <c r="K12" s="435"/>
      <c r="L12" s="280"/>
      <c r="M12" s="110"/>
      <c r="N12" s="174"/>
      <c r="O12" s="110"/>
      <c r="P12" s="110"/>
      <c r="Q12" s="110"/>
      <c r="R12" s="110"/>
      <c r="S12" s="110"/>
      <c r="T12" s="110"/>
      <c r="U12" s="110"/>
    </row>
    <row r="13" spans="1:55 16384:16384" s="111" customFormat="1" ht="15.75" customHeight="1" x14ac:dyDescent="0.2">
      <c r="A13" s="112" t="s">
        <v>255</v>
      </c>
      <c r="B13" s="121">
        <v>65219</v>
      </c>
      <c r="C13" s="121">
        <v>65912</v>
      </c>
      <c r="D13" s="277"/>
      <c r="E13" s="277"/>
      <c r="F13" s="121">
        <v>646920</v>
      </c>
      <c r="G13" s="121">
        <v>2206267</v>
      </c>
      <c r="H13" s="113"/>
      <c r="I13" s="433">
        <f>[1]pénzforg.!$I$9</f>
        <v>5225853.6452585747</v>
      </c>
      <c r="J13" s="278">
        <v>2414404</v>
      </c>
      <c r="K13" s="436">
        <v>520000</v>
      </c>
      <c r="L13" s="280"/>
      <c r="M13" s="110"/>
      <c r="N13" s="174"/>
      <c r="O13" s="110"/>
      <c r="P13" s="110"/>
      <c r="Q13" s="110"/>
      <c r="R13" s="110"/>
      <c r="S13" s="110"/>
      <c r="T13" s="110"/>
      <c r="U13" s="110"/>
    </row>
    <row r="14" spans="1:55 16384:16384" s="111" customFormat="1" ht="15.75" customHeight="1" x14ac:dyDescent="0.2">
      <c r="A14" s="112" t="s">
        <v>256</v>
      </c>
      <c r="B14" s="115">
        <v>0</v>
      </c>
      <c r="C14" s="115">
        <v>0</v>
      </c>
      <c r="D14" s="402"/>
      <c r="E14" s="402"/>
      <c r="F14" s="281">
        <v>0</v>
      </c>
      <c r="G14" s="282">
        <v>0</v>
      </c>
      <c r="H14" s="113"/>
      <c r="I14" s="433">
        <f>[1]pénzforg.!$I$9</f>
        <v>5225853.6452585747</v>
      </c>
      <c r="J14" s="278">
        <v>279963</v>
      </c>
      <c r="K14" s="436">
        <v>460644</v>
      </c>
      <c r="L14" s="283"/>
      <c r="M14" s="110"/>
      <c r="N14" s="174"/>
      <c r="O14" s="110"/>
      <c r="P14" s="110"/>
      <c r="Q14" s="110"/>
      <c r="R14" s="110"/>
      <c r="S14" s="110"/>
      <c r="T14" s="110"/>
      <c r="U14" s="110"/>
    </row>
    <row r="15" spans="1:55 16384:16384" s="111" customFormat="1" ht="15.75" customHeight="1" x14ac:dyDescent="0.2">
      <c r="A15" s="118" t="s">
        <v>257</v>
      </c>
      <c r="B15" s="115">
        <v>0</v>
      </c>
      <c r="C15" s="115">
        <v>0</v>
      </c>
      <c r="D15" s="402"/>
      <c r="E15" s="402"/>
      <c r="F15" s="281">
        <v>0</v>
      </c>
      <c r="G15" s="282">
        <v>0</v>
      </c>
      <c r="H15" s="113"/>
      <c r="I15" s="433">
        <f>[1]pénzforg.!$I$9</f>
        <v>5225853.6452585747</v>
      </c>
      <c r="J15" s="437">
        <v>1248231</v>
      </c>
      <c r="K15" s="119"/>
      <c r="L15" s="119"/>
      <c r="M15" s="119"/>
      <c r="N15" s="174"/>
      <c r="O15" s="119"/>
      <c r="P15" s="119"/>
      <c r="Q15" s="119"/>
      <c r="R15" s="119"/>
      <c r="S15" s="119"/>
      <c r="T15" s="119"/>
      <c r="U15" s="119"/>
    </row>
    <row r="16" spans="1:55 16384:16384" s="111" customFormat="1" ht="15.75" customHeight="1" x14ac:dyDescent="0.2">
      <c r="A16" s="120" t="s">
        <v>258</v>
      </c>
      <c r="B16" s="121">
        <v>110367</v>
      </c>
      <c r="C16" s="121">
        <v>115596</v>
      </c>
      <c r="D16" s="402"/>
      <c r="E16" s="402"/>
      <c r="F16" s="123">
        <v>1231232</v>
      </c>
      <c r="G16" s="122">
        <v>4148288</v>
      </c>
      <c r="H16" s="113"/>
      <c r="I16" s="433">
        <f>[1]pénzforg.!$I$9</f>
        <v>5225853.6452585747</v>
      </c>
      <c r="J16" s="278">
        <v>3960124</v>
      </c>
      <c r="K16" s="119"/>
      <c r="L16" s="283"/>
      <c r="M16" s="119"/>
      <c r="N16" s="174"/>
      <c r="O16" s="119"/>
      <c r="P16" s="119"/>
      <c r="Q16" s="119"/>
      <c r="R16" s="119"/>
      <c r="S16" s="119"/>
      <c r="T16" s="119"/>
      <c r="U16" s="119"/>
    </row>
    <row r="17" spans="1:21" s="111" customFormat="1" ht="15.75" customHeight="1" x14ac:dyDescent="0.2">
      <c r="A17" s="118" t="s">
        <v>259</v>
      </c>
      <c r="B17" s="121">
        <v>97721</v>
      </c>
      <c r="C17" s="121">
        <v>102410</v>
      </c>
      <c r="D17" s="402"/>
      <c r="E17" s="402"/>
      <c r="F17" s="121">
        <v>1153256</v>
      </c>
      <c r="G17" s="121">
        <v>2932948</v>
      </c>
      <c r="H17" s="113"/>
      <c r="I17" s="433">
        <f>[1]pénzforg.!$I$9</f>
        <v>5225853.6452585747</v>
      </c>
      <c r="J17" s="278">
        <v>3296570</v>
      </c>
      <c r="K17" s="119"/>
      <c r="L17" s="283"/>
      <c r="M17" s="119"/>
      <c r="N17" s="174"/>
      <c r="O17" s="119"/>
      <c r="P17" s="119"/>
      <c r="Q17" s="119"/>
      <c r="R17" s="119"/>
      <c r="S17" s="119"/>
      <c r="T17" s="119"/>
      <c r="U17" s="119"/>
    </row>
    <row r="18" spans="1:21" s="111" customFormat="1" ht="15.75" customHeight="1" x14ac:dyDescent="0.2">
      <c r="A18" s="118" t="s">
        <v>260</v>
      </c>
      <c r="B18" s="115">
        <f t="shared" ref="B18" si="0">+(B16/22)*21</f>
        <v>105350.31818181818</v>
      </c>
      <c r="C18" s="115">
        <f>+(C16/22)*21</f>
        <v>110341.63636363635</v>
      </c>
      <c r="D18" s="402"/>
      <c r="E18" s="402"/>
      <c r="F18" s="115">
        <v>1025547</v>
      </c>
      <c r="G18" s="115">
        <v>3505045</v>
      </c>
      <c r="H18" s="113"/>
      <c r="I18" s="433">
        <f>[1]pénzforg.!$I$9</f>
        <v>5225853.6452585747</v>
      </c>
      <c r="J18" s="438">
        <f>+J16/22*20</f>
        <v>3600112.7272727271</v>
      </c>
      <c r="K18" s="119"/>
      <c r="L18" s="284"/>
      <c r="M18" s="119"/>
      <c r="N18" s="174"/>
      <c r="O18" s="119"/>
      <c r="P18" s="119"/>
      <c r="Q18" s="119"/>
      <c r="R18" s="119"/>
      <c r="S18" s="119"/>
      <c r="T18" s="119"/>
      <c r="U18" s="119"/>
    </row>
    <row r="19" spans="1:21" s="111" customFormat="1" ht="15.75" customHeight="1" thickBot="1" x14ac:dyDescent="0.25">
      <c r="A19" s="124" t="s">
        <v>261</v>
      </c>
      <c r="B19" s="115">
        <f t="shared" ref="B19" si="1">+(B16/22)*15</f>
        <v>75250.227272727265</v>
      </c>
      <c r="C19" s="115">
        <f>+(C16/22)*15</f>
        <v>78815.454545454544</v>
      </c>
      <c r="D19" s="402"/>
      <c r="E19" s="402"/>
      <c r="F19" s="115">
        <f>+(F16/20)*14</f>
        <v>861862.40000000002</v>
      </c>
      <c r="G19" s="115">
        <v>2899830</v>
      </c>
      <c r="H19" s="113"/>
      <c r="I19" s="433">
        <f>[1]pénzforg.!$I$9</f>
        <v>5225853.6452585747</v>
      </c>
      <c r="J19" s="439">
        <v>1248100</v>
      </c>
      <c r="K19" s="119"/>
      <c r="L19" s="285"/>
      <c r="M19" s="119"/>
      <c r="N19" s="174"/>
      <c r="O19" s="119"/>
      <c r="P19" s="119"/>
      <c r="Q19" s="119"/>
      <c r="R19" s="119"/>
      <c r="S19" s="119"/>
      <c r="T19" s="119"/>
      <c r="U19" s="119"/>
    </row>
    <row r="20" spans="1:21" s="129" customFormat="1" ht="24" customHeight="1" thickBot="1" x14ac:dyDescent="0.25">
      <c r="A20" s="125" t="s">
        <v>262</v>
      </c>
      <c r="B20" s="126">
        <f>SUM(B8:B19)</f>
        <v>770022.54545454541</v>
      </c>
      <c r="C20" s="126">
        <f>SUM(C8:C19)</f>
        <v>793225.09090909094</v>
      </c>
      <c r="D20" s="126">
        <f t="shared" ref="D20:H20" si="2">SUM(D8:D19)</f>
        <v>0</v>
      </c>
      <c r="E20" s="126">
        <f t="shared" si="2"/>
        <v>0</v>
      </c>
      <c r="F20" s="126">
        <f>SUM(F8:F19)</f>
        <v>10357811.4</v>
      </c>
      <c r="G20" s="126">
        <f>SUM(G8:G19)</f>
        <v>29803149</v>
      </c>
      <c r="H20" s="113">
        <f t="shared" si="2"/>
        <v>0</v>
      </c>
      <c r="I20" s="127">
        <f>SUM(I8:I19)</f>
        <v>62710243.743102901</v>
      </c>
      <c r="J20" s="286"/>
      <c r="K20" s="279"/>
      <c r="L20" s="119"/>
      <c r="M20" s="119"/>
      <c r="N20" s="287"/>
      <c r="O20" s="128"/>
      <c r="P20" s="128"/>
      <c r="Q20" s="128"/>
      <c r="R20" s="128"/>
      <c r="S20" s="128"/>
      <c r="T20" s="128"/>
      <c r="U20" s="128"/>
    </row>
    <row r="21" spans="1:21" s="129" customFormat="1" ht="24" customHeight="1" thickBot="1" x14ac:dyDescent="0.25">
      <c r="A21" s="288" t="s">
        <v>263</v>
      </c>
      <c r="B21" s="126">
        <f>+B20/1.27</f>
        <v>606316.96492483886</v>
      </c>
      <c r="C21" s="126">
        <f t="shared" ref="C21:I21" si="3">+C20/1.27</f>
        <v>624586.68575518974</v>
      </c>
      <c r="D21" s="126">
        <f t="shared" si="3"/>
        <v>0</v>
      </c>
      <c r="E21" s="126">
        <f t="shared" si="3"/>
        <v>0</v>
      </c>
      <c r="F21" s="126">
        <f>+F20/1.27</f>
        <v>8155757.0078740157</v>
      </c>
      <c r="G21" s="126">
        <f>+G20/1.27</f>
        <v>23467046.456692912</v>
      </c>
      <c r="H21" s="126">
        <f>+H20/1.27</f>
        <v>0</v>
      </c>
      <c r="I21" s="126">
        <f t="shared" si="3"/>
        <v>49378144.679608583</v>
      </c>
      <c r="J21" s="289"/>
      <c r="K21" s="279"/>
      <c r="L21" s="285"/>
      <c r="M21" s="128"/>
      <c r="N21" s="130"/>
      <c r="O21" s="128"/>
      <c r="P21" s="128"/>
      <c r="Q21" s="128"/>
      <c r="R21" s="128"/>
      <c r="S21" s="128"/>
      <c r="T21" s="128"/>
      <c r="U21" s="128"/>
    </row>
    <row r="22" spans="1:21" ht="30.75" customHeight="1" thickBot="1" x14ac:dyDescent="0.25">
      <c r="A22" s="131" t="s">
        <v>136</v>
      </c>
      <c r="B22" s="290">
        <f>+B21*1.2</f>
        <v>727580.35790980665</v>
      </c>
      <c r="C22" s="291">
        <f>+C21*1.2</f>
        <v>749504.02290622762</v>
      </c>
      <c r="D22" s="528">
        <f>+D21+E21</f>
        <v>0</v>
      </c>
      <c r="E22" s="529"/>
      <c r="F22" s="132">
        <f>+F20/1.27</f>
        <v>8155757.0078740157</v>
      </c>
      <c r="G22" s="132">
        <f>+G20/1.27</f>
        <v>23467046.456692912</v>
      </c>
      <c r="H22" s="132">
        <f>+H20/1.27</f>
        <v>0</v>
      </c>
      <c r="I22" s="132">
        <f>+I20/1.27</f>
        <v>49378144.679608583</v>
      </c>
      <c r="J22" s="133">
        <f>(SUM(J8:J19))</f>
        <v>34063496.727272727</v>
      </c>
      <c r="K22" s="134">
        <f>SUM(K8:K19)</f>
        <v>980644</v>
      </c>
      <c r="L22" s="105"/>
      <c r="M22" s="105" t="s">
        <v>264</v>
      </c>
      <c r="N22" s="292"/>
      <c r="O22" s="105"/>
      <c r="P22" s="105"/>
      <c r="Q22" s="105"/>
      <c r="R22" s="105"/>
      <c r="S22" s="105"/>
      <c r="T22" s="105"/>
      <c r="U22" s="105"/>
    </row>
    <row r="23" spans="1:21" ht="15.75" customHeight="1" thickBot="1" x14ac:dyDescent="0.25">
      <c r="A23" s="105"/>
      <c r="B23" s="530">
        <f>+B22+C22</f>
        <v>1477084.3808160343</v>
      </c>
      <c r="C23" s="531"/>
      <c r="D23" s="532">
        <f>+D22</f>
        <v>0</v>
      </c>
      <c r="E23" s="533"/>
      <c r="F23" s="534">
        <f>+F22+G22</f>
        <v>31622803.464566927</v>
      </c>
      <c r="G23" s="535"/>
      <c r="H23" s="536">
        <f>+H22+I22</f>
        <v>49378144.679608583</v>
      </c>
      <c r="I23" s="537"/>
      <c r="J23" s="518">
        <f>+J22+K22</f>
        <v>35044140.727272727</v>
      </c>
      <c r="K23" s="519"/>
      <c r="L23" s="105"/>
      <c r="M23" s="105"/>
      <c r="N23" s="293"/>
      <c r="O23" s="105"/>
      <c r="P23" s="105"/>
      <c r="Q23" s="105"/>
      <c r="R23" s="105"/>
      <c r="S23" s="105"/>
      <c r="T23" s="105"/>
      <c r="U23" s="105"/>
    </row>
    <row r="24" spans="1:21" x14ac:dyDescent="0.2">
      <c r="A24" s="105"/>
      <c r="B24" s="368"/>
      <c r="C24" s="294"/>
      <c r="D24" s="294"/>
      <c r="E24" s="295"/>
      <c r="F24" s="136"/>
      <c r="G24" s="137" t="s">
        <v>265</v>
      </c>
      <c r="H24" s="130">
        <f>SUM(B22:I22)</f>
        <v>82478032.524991542</v>
      </c>
      <c r="I24" s="296"/>
      <c r="J24" s="297"/>
      <c r="K24" s="297"/>
      <c r="L24" s="105"/>
      <c r="M24" s="105"/>
      <c r="N24" s="105"/>
      <c r="O24" s="105"/>
      <c r="P24" s="105"/>
      <c r="Q24" s="105"/>
      <c r="R24" s="105"/>
      <c r="S24" s="105"/>
      <c r="T24" s="105"/>
      <c r="U24" s="105"/>
    </row>
    <row r="25" spans="1:21" x14ac:dyDescent="0.2">
      <c r="A25" s="368"/>
      <c r="B25" s="368"/>
      <c r="C25" s="298"/>
      <c r="D25" s="135"/>
      <c r="E25" s="135"/>
      <c r="F25" s="105"/>
      <c r="G25" s="138" t="s">
        <v>266</v>
      </c>
      <c r="H25" s="139">
        <f>[1]pénzforg.!$H$26</f>
        <v>9657377.6535433084</v>
      </c>
      <c r="I25" s="299"/>
      <c r="J25" s="403">
        <f>+'[2]rezsi Nonprofit'!D18/12</f>
        <v>5136669.6069102064</v>
      </c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</row>
    <row r="26" spans="1:21" x14ac:dyDescent="0.2">
      <c r="A26" s="368" t="s">
        <v>336</v>
      </c>
      <c r="B26" s="270"/>
      <c r="C26" s="298"/>
      <c r="D26" s="135"/>
      <c r="E26" s="135"/>
      <c r="F26" s="105"/>
      <c r="G26" s="138" t="s">
        <v>267</v>
      </c>
      <c r="H26" s="141">
        <f>+B55</f>
        <v>107702.36220472441</v>
      </c>
      <c r="I26" s="299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21" ht="16" x14ac:dyDescent="0.2">
      <c r="A27" s="105"/>
      <c r="B27" s="295"/>
      <c r="C27" s="105"/>
      <c r="D27" s="300"/>
      <c r="E27" s="140"/>
      <c r="F27" s="105"/>
      <c r="G27" s="138" t="s">
        <v>268</v>
      </c>
      <c r="H27" s="142">
        <f>SUM(H24:H26)</f>
        <v>92243112.540739581</v>
      </c>
      <c r="I27" s="297"/>
      <c r="J27" s="301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</row>
    <row r="28" spans="1:21" x14ac:dyDescent="0.2">
      <c r="A28" s="368"/>
      <c r="B28" s="404"/>
      <c r="C28" s="143"/>
      <c r="D28" s="144"/>
      <c r="E28" s="145"/>
      <c r="F28" s="143"/>
      <c r="G28" s="143"/>
      <c r="H28" s="146">
        <f>+H27+G22</f>
        <v>115710158.9974325</v>
      </c>
      <c r="I28" s="147"/>
      <c r="J28" s="143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</row>
    <row r="29" spans="1:21" x14ac:dyDescent="0.2">
      <c r="A29" s="368"/>
      <c r="B29" s="105"/>
      <c r="C29" s="105"/>
      <c r="D29" s="21"/>
      <c r="E29" s="105"/>
      <c r="F29" s="105"/>
      <c r="G29" s="105"/>
      <c r="H29" s="13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</row>
    <row r="30" spans="1:21" x14ac:dyDescent="0.2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</row>
    <row r="31" spans="1:21" ht="16" thickBot="1" x14ac:dyDescent="0.25">
      <c r="A31" s="21"/>
      <c r="B31" s="111"/>
      <c r="C31" s="21"/>
      <c r="D31" s="21"/>
      <c r="E31" s="111"/>
      <c r="F31" s="21"/>
      <c r="G31" s="21" t="s">
        <v>269</v>
      </c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</row>
    <row r="32" spans="1:21" ht="16" thickBot="1" x14ac:dyDescent="0.25">
      <c r="B32" s="111"/>
      <c r="C32" s="111"/>
      <c r="E32" s="111"/>
      <c r="F32" s="111"/>
      <c r="G32" s="148" t="s">
        <v>270</v>
      </c>
      <c r="H32" s="111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</row>
    <row r="33" spans="1:21" x14ac:dyDescent="0.2">
      <c r="A33" s="149"/>
      <c r="B33" s="302"/>
      <c r="C33" s="149"/>
      <c r="D33" s="149"/>
      <c r="E33" s="302"/>
      <c r="F33" s="150" t="s">
        <v>250</v>
      </c>
      <c r="G33" s="303">
        <v>463</v>
      </c>
      <c r="H33" s="158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</row>
    <row r="34" spans="1:21" x14ac:dyDescent="0.2">
      <c r="A34" s="149"/>
      <c r="B34" s="302"/>
      <c r="C34" s="149"/>
      <c r="D34" s="149"/>
      <c r="E34" s="302"/>
      <c r="F34" s="150" t="s">
        <v>251</v>
      </c>
      <c r="G34" s="153">
        <v>624</v>
      </c>
      <c r="H34" s="158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</row>
    <row r="35" spans="1:21" x14ac:dyDescent="0.2">
      <c r="A35" s="149"/>
      <c r="B35" s="302"/>
      <c r="C35" s="149"/>
      <c r="D35" s="149"/>
      <c r="E35" s="302"/>
      <c r="F35" s="150" t="s">
        <v>252</v>
      </c>
      <c r="G35" s="153">
        <v>656</v>
      </c>
      <c r="H35" s="158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</row>
    <row r="36" spans="1:21" x14ac:dyDescent="0.2">
      <c r="A36" s="149"/>
      <c r="B36" s="302"/>
      <c r="C36" s="149"/>
      <c r="D36" s="149"/>
      <c r="E36" s="302"/>
      <c r="F36" s="150" t="s">
        <v>253</v>
      </c>
      <c r="G36" s="153">
        <v>457</v>
      </c>
      <c r="H36" s="158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</row>
    <row r="37" spans="1:21" x14ac:dyDescent="0.2">
      <c r="A37" s="149"/>
      <c r="B37" s="302"/>
      <c r="C37" s="149"/>
      <c r="D37" s="149"/>
      <c r="E37" s="302"/>
      <c r="F37" s="150" t="s">
        <v>254</v>
      </c>
      <c r="G37" s="153">
        <v>570</v>
      </c>
      <c r="H37" s="158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</row>
    <row r="38" spans="1:21" x14ac:dyDescent="0.2">
      <c r="A38" s="149"/>
      <c r="B38" s="302"/>
      <c r="C38" s="149"/>
      <c r="D38" s="149"/>
      <c r="E38" s="302"/>
      <c r="F38" s="150" t="s">
        <v>255</v>
      </c>
      <c r="G38" s="153">
        <v>769</v>
      </c>
      <c r="H38" s="304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</row>
    <row r="39" spans="1:21" x14ac:dyDescent="0.2">
      <c r="A39" s="149"/>
      <c r="B39" s="302"/>
      <c r="C39" s="149"/>
      <c r="D39" s="149"/>
      <c r="E39" s="302"/>
      <c r="F39" s="150" t="s">
        <v>256</v>
      </c>
      <c r="G39" s="153">
        <v>836</v>
      </c>
      <c r="H39" s="302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</row>
    <row r="40" spans="1:21" x14ac:dyDescent="0.2">
      <c r="A40" s="149"/>
      <c r="B40" s="302"/>
      <c r="C40" s="149"/>
      <c r="D40" s="149"/>
      <c r="E40" s="302"/>
      <c r="F40" s="150" t="s">
        <v>257</v>
      </c>
      <c r="G40" s="153">
        <v>752</v>
      </c>
      <c r="H40" s="3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</row>
    <row r="41" spans="1:21" x14ac:dyDescent="0.2">
      <c r="A41" s="129"/>
      <c r="B41" s="302"/>
      <c r="C41" s="129"/>
      <c r="D41" s="129"/>
      <c r="E41" s="302"/>
      <c r="F41" s="151" t="s">
        <v>258</v>
      </c>
      <c r="G41" s="152">
        <v>525</v>
      </c>
      <c r="H41" s="158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</row>
    <row r="42" spans="1:21" x14ac:dyDescent="0.2">
      <c r="A42" s="149"/>
      <c r="B42" s="302"/>
      <c r="C42" s="149"/>
      <c r="D42" s="149"/>
      <c r="E42" s="302"/>
      <c r="F42" s="150" t="s">
        <v>259</v>
      </c>
      <c r="G42" s="271">
        <f>+G41/21*20</f>
        <v>500</v>
      </c>
      <c r="H42" s="158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</row>
    <row r="43" spans="1:21" x14ac:dyDescent="0.2">
      <c r="A43" s="149"/>
      <c r="B43" s="302"/>
      <c r="C43" s="149"/>
      <c r="D43" s="149"/>
      <c r="E43" s="302"/>
      <c r="F43" s="150" t="s">
        <v>260</v>
      </c>
      <c r="G43" s="271">
        <v>377</v>
      </c>
      <c r="H43" s="158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</row>
    <row r="44" spans="1:21" ht="16" thickBot="1" x14ac:dyDescent="0.25">
      <c r="A44" s="149"/>
      <c r="B44" s="302"/>
      <c r="C44" s="149"/>
      <c r="D44" s="149"/>
      <c r="E44" s="302"/>
      <c r="F44" s="150" t="s">
        <v>261</v>
      </c>
      <c r="G44" s="271">
        <v>269</v>
      </c>
      <c r="H44" s="306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</row>
    <row r="45" spans="1:21" ht="16" thickBot="1" x14ac:dyDescent="0.25">
      <c r="B45" s="302"/>
      <c r="E45" s="302"/>
      <c r="F45" s="154" t="s">
        <v>271</v>
      </c>
      <c r="G45" s="155">
        <f>SUM(G33:G44)</f>
        <v>6798</v>
      </c>
      <c r="H45" s="156">
        <f>+(G45*1296)</f>
        <v>8810208</v>
      </c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</row>
    <row r="46" spans="1:21" s="111" customFormat="1" x14ac:dyDescent="0.2">
      <c r="A46" s="157"/>
      <c r="B46" s="158"/>
      <c r="C46" s="158"/>
      <c r="D46" s="157"/>
      <c r="E46" s="158"/>
      <c r="F46" s="158"/>
      <c r="G46" s="159" t="s">
        <v>272</v>
      </c>
      <c r="H46" s="160">
        <f>+H45/1.27</f>
        <v>6937171.6535433074</v>
      </c>
      <c r="I46" s="105"/>
      <c r="J46" s="105"/>
      <c r="K46" s="105"/>
      <c r="L46" s="105"/>
      <c r="M46" s="105"/>
      <c r="N46" s="110"/>
      <c r="O46" s="110"/>
      <c r="P46" s="110"/>
      <c r="Q46" s="110"/>
      <c r="R46" s="110"/>
      <c r="S46" s="110"/>
      <c r="T46" s="110"/>
      <c r="U46" s="110"/>
    </row>
    <row r="47" spans="1:21" x14ac:dyDescent="0.2">
      <c r="B47" s="161"/>
      <c r="C47" s="162"/>
      <c r="E47" s="161"/>
      <c r="F47" s="162"/>
      <c r="G47" s="163">
        <f>+G45*462</f>
        <v>3140676</v>
      </c>
      <c r="H47" s="162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</row>
    <row r="48" spans="1:21" x14ac:dyDescent="0.2">
      <c r="A48" s="105"/>
      <c r="B48" s="105"/>
      <c r="C48" s="105"/>
      <c r="D48" s="105"/>
      <c r="E48" s="105"/>
      <c r="F48" s="105"/>
      <c r="G48" s="307"/>
      <c r="H48" s="308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</row>
    <row r="49" spans="1:21" ht="15" customHeight="1" x14ac:dyDescent="0.2">
      <c r="A49" s="105" t="s">
        <v>275</v>
      </c>
      <c r="B49" s="105"/>
      <c r="C49" s="105"/>
      <c r="D49" s="16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</row>
    <row r="50" spans="1:21" ht="30" x14ac:dyDescent="0.2">
      <c r="A50" s="538" t="s">
        <v>307</v>
      </c>
      <c r="B50" s="273">
        <f>+'[2]szünidei étk.'!D8</f>
        <v>121176</v>
      </c>
      <c r="C50" s="110"/>
      <c r="D50" s="166" t="s">
        <v>273</v>
      </c>
      <c r="E50" s="272"/>
      <c r="F50" s="272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</row>
    <row r="51" spans="1:21" x14ac:dyDescent="0.2">
      <c r="A51" s="538"/>
      <c r="B51" s="273">
        <v>10098</v>
      </c>
      <c r="C51" s="174"/>
      <c r="D51" s="167">
        <v>426403</v>
      </c>
      <c r="E51" s="274"/>
      <c r="F51" s="27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</row>
    <row r="52" spans="1:21" x14ac:dyDescent="0.2">
      <c r="A52" s="538"/>
      <c r="B52" s="273">
        <f>+'[2]szünidei étk.'!J8</f>
        <v>5508</v>
      </c>
      <c r="C52" s="178"/>
      <c r="D52" s="167">
        <v>102047</v>
      </c>
      <c r="E52" s="274"/>
      <c r="F52" s="27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</row>
    <row r="53" spans="1:21" x14ac:dyDescent="0.2">
      <c r="A53" s="538"/>
      <c r="B53" s="273"/>
      <c r="C53" s="178"/>
      <c r="D53" s="167"/>
      <c r="E53" s="274"/>
      <c r="F53" s="275"/>
      <c r="G53" s="105"/>
      <c r="H53" s="16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</row>
    <row r="54" spans="1:21" x14ac:dyDescent="0.2">
      <c r="A54" s="105" t="s">
        <v>288</v>
      </c>
      <c r="B54" s="135">
        <f>SUM(B50:B53)</f>
        <v>136782</v>
      </c>
      <c r="C54" s="172"/>
      <c r="D54" s="167">
        <v>940876</v>
      </c>
      <c r="E54" s="274"/>
      <c r="F54" s="168"/>
      <c r="G54" s="169">
        <f>+D56</f>
        <v>1469326</v>
      </c>
      <c r="H54" s="105" t="s">
        <v>274</v>
      </c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</row>
    <row r="55" spans="1:21" x14ac:dyDescent="0.2">
      <c r="A55" s="171" t="s">
        <v>272</v>
      </c>
      <c r="B55" s="169">
        <f>+B54/1.27</f>
        <v>107702.36220472441</v>
      </c>
      <c r="C55" s="105"/>
      <c r="D55" s="167">
        <f>SUM(D51:D54)</f>
        <v>1469326</v>
      </c>
      <c r="E55" s="274"/>
      <c r="F55" s="275"/>
      <c r="G55" s="170"/>
      <c r="H55" s="16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</row>
    <row r="56" spans="1:21" x14ac:dyDescent="0.2">
      <c r="A56" s="110"/>
      <c r="B56" s="172"/>
      <c r="C56" s="105"/>
      <c r="D56" s="367">
        <f>+D55</f>
        <v>1469326</v>
      </c>
      <c r="E56" s="274"/>
      <c r="F56" s="170"/>
      <c r="G56" s="169">
        <f>+D62</f>
        <v>1250880</v>
      </c>
      <c r="H56" s="164" t="s">
        <v>276</v>
      </c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</row>
    <row r="57" spans="1:21" x14ac:dyDescent="0.2">
      <c r="A57" s="539"/>
      <c r="B57" s="405"/>
      <c r="C57" s="540"/>
      <c r="D57" s="167"/>
      <c r="E57" s="274"/>
      <c r="F57" s="275"/>
      <c r="G57" s="173"/>
      <c r="H57" s="172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</row>
    <row r="58" spans="1:21" ht="28.5" customHeight="1" x14ac:dyDescent="0.2">
      <c r="A58" s="539"/>
      <c r="B58" s="405"/>
      <c r="C58" s="540"/>
      <c r="D58" s="440" t="s">
        <v>358</v>
      </c>
      <c r="E58" s="174"/>
      <c r="F58" s="173"/>
      <c r="G58" s="175">
        <f>+G56+G54+H46</f>
        <v>9657377.6535433084</v>
      </c>
      <c r="H58" s="395" t="s">
        <v>277</v>
      </c>
      <c r="I58" s="395"/>
      <c r="J58" s="432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</row>
    <row r="59" spans="1:21" x14ac:dyDescent="0.2">
      <c r="A59" s="541"/>
      <c r="B59" s="174"/>
      <c r="C59" s="110"/>
      <c r="D59" s="435">
        <v>270236</v>
      </c>
      <c r="E59" s="274"/>
      <c r="F59" s="27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</row>
    <row r="60" spans="1:21" x14ac:dyDescent="0.2">
      <c r="A60" s="541"/>
      <c r="B60" s="174"/>
      <c r="C60" s="174"/>
      <c r="D60" s="436">
        <v>520000</v>
      </c>
      <c r="E60" s="176"/>
      <c r="F60" s="542" t="s">
        <v>337</v>
      </c>
      <c r="G60" s="177">
        <v>317100</v>
      </c>
      <c r="H60" s="105" t="s">
        <v>278</v>
      </c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</row>
    <row r="61" spans="1:21" x14ac:dyDescent="0.2">
      <c r="A61" s="541"/>
      <c r="B61" s="174"/>
      <c r="C61" s="178"/>
      <c r="D61" s="436">
        <v>460644</v>
      </c>
      <c r="E61" s="176"/>
      <c r="F61" s="542"/>
      <c r="G61" s="177">
        <v>397500</v>
      </c>
      <c r="H61" s="105" t="s">
        <v>308</v>
      </c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</row>
    <row r="62" spans="1:21" x14ac:dyDescent="0.2">
      <c r="A62" s="541"/>
      <c r="B62" s="174"/>
      <c r="C62" s="178"/>
      <c r="D62" s="169">
        <f>SUM(D59:D61)</f>
        <v>1250880</v>
      </c>
      <c r="E62" s="176"/>
      <c r="F62" s="542"/>
      <c r="G62" s="177">
        <v>1180000</v>
      </c>
      <c r="H62" s="105" t="s">
        <v>289</v>
      </c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</row>
    <row r="63" spans="1:21" x14ac:dyDescent="0.2">
      <c r="A63" s="110"/>
      <c r="B63" s="178"/>
      <c r="C63" s="172"/>
      <c r="D63" s="110"/>
      <c r="E63" s="176"/>
      <c r="F63" s="542"/>
      <c r="G63" s="177">
        <v>80000</v>
      </c>
      <c r="H63" s="105" t="s">
        <v>309</v>
      </c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</row>
    <row r="64" spans="1:21" x14ac:dyDescent="0.2">
      <c r="A64" s="110"/>
      <c r="B64" s="172"/>
      <c r="C64" s="110"/>
      <c r="D64" s="110"/>
      <c r="E64" s="178"/>
      <c r="F64" s="542"/>
      <c r="G64" s="177">
        <v>201960</v>
      </c>
      <c r="H64" s="105" t="s">
        <v>279</v>
      </c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</row>
    <row r="65" spans="1:21" x14ac:dyDescent="0.2">
      <c r="A65" s="110"/>
      <c r="B65" s="172"/>
      <c r="C65" s="110"/>
      <c r="D65" s="110"/>
      <c r="E65" s="178"/>
      <c r="F65" s="542"/>
      <c r="G65" s="177">
        <v>76000</v>
      </c>
      <c r="H65" s="369" t="s">
        <v>310</v>
      </c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</row>
    <row r="66" spans="1:21" x14ac:dyDescent="0.2">
      <c r="A66" s="110"/>
      <c r="B66" s="172"/>
      <c r="C66" s="110"/>
      <c r="D66" s="110"/>
      <c r="E66" s="178"/>
      <c r="F66" s="542"/>
      <c r="G66" s="177">
        <v>400000</v>
      </c>
      <c r="H66" s="369" t="s">
        <v>311</v>
      </c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</row>
    <row r="67" spans="1:21" x14ac:dyDescent="0.2">
      <c r="A67" s="110">
        <v>9</v>
      </c>
      <c r="B67" s="172"/>
      <c r="C67" s="110"/>
      <c r="D67" s="110"/>
      <c r="E67" s="178"/>
      <c r="F67" s="542"/>
      <c r="G67" s="177">
        <v>950000</v>
      </c>
      <c r="H67" s="369" t="s">
        <v>359</v>
      </c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</row>
    <row r="68" spans="1:21" x14ac:dyDescent="0.2">
      <c r="A68" s="110"/>
      <c r="B68" s="172"/>
      <c r="C68" s="110"/>
      <c r="D68" s="110"/>
      <c r="E68" s="178"/>
      <c r="F68" s="542"/>
      <c r="G68" s="177">
        <v>550000</v>
      </c>
      <c r="H68" s="369" t="s">
        <v>312</v>
      </c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</row>
    <row r="69" spans="1:21" x14ac:dyDescent="0.2">
      <c r="A69" s="110"/>
      <c r="B69" s="172"/>
      <c r="C69" s="110"/>
      <c r="D69" s="110"/>
      <c r="E69" s="178"/>
      <c r="F69" s="542"/>
      <c r="G69" s="177">
        <v>102000</v>
      </c>
      <c r="H69" s="369" t="s">
        <v>313</v>
      </c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</row>
    <row r="70" spans="1:21" x14ac:dyDescent="0.2">
      <c r="A70" s="110"/>
      <c r="B70" s="172"/>
      <c r="C70" s="110"/>
      <c r="D70" s="110"/>
      <c r="E70" s="178"/>
      <c r="F70" s="542"/>
      <c r="G70" s="177">
        <v>52000</v>
      </c>
      <c r="H70" s="369" t="s">
        <v>360</v>
      </c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</row>
    <row r="71" spans="1:21" x14ac:dyDescent="0.2">
      <c r="A71" s="110"/>
      <c r="B71" s="172"/>
      <c r="C71" s="110"/>
      <c r="D71" s="173"/>
      <c r="E71" s="179"/>
      <c r="F71" s="542"/>
      <c r="G71" s="177">
        <v>580000</v>
      </c>
      <c r="H71" s="105" t="s">
        <v>314</v>
      </c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</row>
    <row r="72" spans="1:21" x14ac:dyDescent="0.2">
      <c r="A72" s="105"/>
      <c r="B72" s="105"/>
      <c r="C72" s="105"/>
      <c r="D72" s="110"/>
      <c r="E72" s="110"/>
      <c r="F72" s="542"/>
      <c r="G72" s="180">
        <f>SUM(G60:G71)</f>
        <v>4886560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</row>
    <row r="73" spans="1:21" x14ac:dyDescent="0.2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</row>
    <row r="74" spans="1:21" x14ac:dyDescent="0.2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</row>
    <row r="75" spans="1:21" x14ac:dyDescent="0.2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</row>
    <row r="76" spans="1:21" x14ac:dyDescent="0.2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</row>
    <row r="77" spans="1:21" x14ac:dyDescent="0.2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</row>
    <row r="78" spans="1:21" x14ac:dyDescent="0.2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</row>
    <row r="79" spans="1:21" x14ac:dyDescent="0.2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</row>
    <row r="80" spans="1:21" x14ac:dyDescent="0.2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</row>
    <row r="81" spans="1:21" x14ac:dyDescent="0.2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</row>
    <row r="82" spans="1:21" x14ac:dyDescent="0.2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</row>
    <row r="83" spans="1:21" x14ac:dyDescent="0.2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</row>
    <row r="84" spans="1:21" x14ac:dyDescent="0.2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</row>
    <row r="85" spans="1:21" x14ac:dyDescent="0.2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</row>
    <row r="86" spans="1:21" x14ac:dyDescent="0.2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</row>
    <row r="87" spans="1:21" x14ac:dyDescent="0.2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</row>
    <row r="88" spans="1:21" x14ac:dyDescent="0.2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</row>
    <row r="89" spans="1:21" x14ac:dyDescent="0.2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</row>
    <row r="90" spans="1:21" x14ac:dyDescent="0.2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</row>
    <row r="91" spans="1:21" x14ac:dyDescent="0.2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</row>
    <row r="92" spans="1:21" x14ac:dyDescent="0.2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</row>
    <row r="93" spans="1:21" x14ac:dyDescent="0.2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</row>
    <row r="94" spans="1:21" x14ac:dyDescent="0.2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</row>
    <row r="95" spans="1:21" ht="15" customHeight="1" x14ac:dyDescent="0.2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</row>
    <row r="96" spans="1:21" x14ac:dyDescent="0.2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</row>
    <row r="97" spans="1:21" x14ac:dyDescent="0.2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</row>
    <row r="98" spans="1:21" x14ac:dyDescent="0.2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</row>
    <row r="99" spans="1:21" x14ac:dyDescent="0.2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</row>
    <row r="100" spans="1:21" x14ac:dyDescent="0.2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</row>
    <row r="101" spans="1:21" x14ac:dyDescent="0.2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</row>
    <row r="102" spans="1:21" x14ac:dyDescent="0.2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</row>
    <row r="103" spans="1:21" x14ac:dyDescent="0.2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</row>
    <row r="104" spans="1:21" x14ac:dyDescent="0.2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</row>
    <row r="105" spans="1:21" x14ac:dyDescent="0.2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</row>
    <row r="106" spans="1:21" x14ac:dyDescent="0.2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</row>
    <row r="107" spans="1:21" x14ac:dyDescent="0.2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</row>
    <row r="108" spans="1:21" x14ac:dyDescent="0.2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</row>
    <row r="109" spans="1:21" x14ac:dyDescent="0.2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</row>
    <row r="110" spans="1:21" x14ac:dyDescent="0.2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</row>
    <row r="111" spans="1:21" x14ac:dyDescent="0.2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</row>
    <row r="112" spans="1:21" x14ac:dyDescent="0.2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</row>
    <row r="113" spans="1:21" x14ac:dyDescent="0.2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</row>
    <row r="114" spans="1:21" x14ac:dyDescent="0.2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</row>
    <row r="115" spans="1:21" x14ac:dyDescent="0.2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</row>
    <row r="116" spans="1:21" x14ac:dyDescent="0.2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</row>
    <row r="117" spans="1:21" x14ac:dyDescent="0.2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</row>
    <row r="118" spans="1:21" x14ac:dyDescent="0.2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</row>
    <row r="119" spans="1:21" x14ac:dyDescent="0.2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</row>
    <row r="120" spans="1:21" x14ac:dyDescent="0.2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</row>
    <row r="121" spans="1:21" x14ac:dyDescent="0.2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</row>
    <row r="122" spans="1:21" x14ac:dyDescent="0.2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</row>
    <row r="123" spans="1:21" x14ac:dyDescent="0.2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</row>
    <row r="124" spans="1:21" x14ac:dyDescent="0.2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</row>
    <row r="125" spans="1:21" x14ac:dyDescent="0.2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</row>
    <row r="126" spans="1:21" x14ac:dyDescent="0.2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</row>
    <row r="127" spans="1:21" x14ac:dyDescent="0.2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</row>
    <row r="128" spans="1:21" x14ac:dyDescent="0.2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</row>
    <row r="129" spans="1:21" x14ac:dyDescent="0.2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</row>
    <row r="130" spans="1:21" x14ac:dyDescent="0.2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</row>
    <row r="131" spans="1:21" x14ac:dyDescent="0.2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</row>
    <row r="132" spans="1:21" x14ac:dyDescent="0.2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</row>
    <row r="133" spans="1:21" x14ac:dyDescent="0.2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</row>
    <row r="134" spans="1:21" x14ac:dyDescent="0.2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</row>
    <row r="135" spans="1:21" x14ac:dyDescent="0.2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</row>
    <row r="136" spans="1:21" x14ac:dyDescent="0.2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</row>
    <row r="137" spans="1:21" x14ac:dyDescent="0.2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</row>
    <row r="138" spans="1:21" x14ac:dyDescent="0.2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</row>
    <row r="139" spans="1:21" x14ac:dyDescent="0.2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</row>
    <row r="140" spans="1:21" x14ac:dyDescent="0.2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</row>
    <row r="141" spans="1:21" x14ac:dyDescent="0.2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</row>
    <row r="142" spans="1:21" x14ac:dyDescent="0.2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</row>
    <row r="143" spans="1:21" x14ac:dyDescent="0.2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</row>
    <row r="144" spans="1:21" x14ac:dyDescent="0.2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</row>
    <row r="145" spans="1:21" x14ac:dyDescent="0.2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</row>
    <row r="146" spans="1:21" x14ac:dyDescent="0.2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</row>
    <row r="147" spans="1:21" x14ac:dyDescent="0.2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</row>
    <row r="148" spans="1:21" x14ac:dyDescent="0.2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</row>
    <row r="149" spans="1:21" x14ac:dyDescent="0.2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</row>
    <row r="150" spans="1:21" x14ac:dyDescent="0.2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</row>
    <row r="151" spans="1:21" x14ac:dyDescent="0.2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</row>
    <row r="152" spans="1:21" x14ac:dyDescent="0.2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</row>
    <row r="153" spans="1:21" x14ac:dyDescent="0.2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</row>
    <row r="154" spans="1:21" x14ac:dyDescent="0.2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</row>
    <row r="155" spans="1:21" x14ac:dyDescent="0.2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</row>
    <row r="156" spans="1:21" x14ac:dyDescent="0.2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</row>
    <row r="157" spans="1:21" x14ac:dyDescent="0.2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</row>
    <row r="158" spans="1:21" x14ac:dyDescent="0.2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</row>
    <row r="159" spans="1:21" x14ac:dyDescent="0.2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</row>
    <row r="160" spans="1:21" x14ac:dyDescent="0.2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</row>
    <row r="161" spans="1:21" x14ac:dyDescent="0.2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</row>
    <row r="162" spans="1:21" x14ac:dyDescent="0.2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</row>
    <row r="163" spans="1:21" x14ac:dyDescent="0.2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</row>
    <row r="164" spans="1:21" x14ac:dyDescent="0.2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</row>
    <row r="165" spans="1:21" x14ac:dyDescent="0.2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</row>
    <row r="166" spans="1:21" x14ac:dyDescent="0.2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</row>
    <row r="167" spans="1:21" x14ac:dyDescent="0.2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</row>
    <row r="168" spans="1:21" x14ac:dyDescent="0.2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</row>
    <row r="169" spans="1:21" x14ac:dyDescent="0.2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</row>
    <row r="170" spans="1:21" x14ac:dyDescent="0.2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</row>
    <row r="171" spans="1:21" x14ac:dyDescent="0.2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</row>
    <row r="172" spans="1:21" x14ac:dyDescent="0.2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</row>
    <row r="173" spans="1:21" x14ac:dyDescent="0.2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</row>
    <row r="174" spans="1:21" x14ac:dyDescent="0.2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</row>
    <row r="175" spans="1:21" x14ac:dyDescent="0.2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</row>
    <row r="176" spans="1:21" x14ac:dyDescent="0.2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</row>
    <row r="177" spans="1:21" x14ac:dyDescent="0.2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</row>
    <row r="178" spans="1:21" x14ac:dyDescent="0.2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</row>
    <row r="179" spans="1:21" x14ac:dyDescent="0.2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</row>
    <row r="180" spans="1:21" x14ac:dyDescent="0.2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</row>
    <row r="181" spans="1:21" x14ac:dyDescent="0.2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</row>
    <row r="182" spans="1:21" x14ac:dyDescent="0.2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</row>
    <row r="183" spans="1:21" x14ac:dyDescent="0.2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</row>
    <row r="184" spans="1:21" x14ac:dyDescent="0.2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</row>
    <row r="185" spans="1:21" x14ac:dyDescent="0.2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</row>
    <row r="186" spans="1:21" x14ac:dyDescent="0.2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</row>
    <row r="187" spans="1:21" x14ac:dyDescent="0.2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</row>
    <row r="188" spans="1:21" x14ac:dyDescent="0.2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</row>
    <row r="189" spans="1:21" x14ac:dyDescent="0.2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</row>
    <row r="190" spans="1:21" x14ac:dyDescent="0.2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</row>
    <row r="191" spans="1:21" x14ac:dyDescent="0.2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</row>
    <row r="192" spans="1:21" x14ac:dyDescent="0.2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</row>
    <row r="193" spans="1:21" x14ac:dyDescent="0.2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</row>
    <row r="194" spans="1:21" x14ac:dyDescent="0.2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</row>
    <row r="195" spans="1:21" x14ac:dyDescent="0.2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</row>
    <row r="196" spans="1:21" x14ac:dyDescent="0.2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</row>
    <row r="197" spans="1:21" x14ac:dyDescent="0.2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</row>
    <row r="198" spans="1:21" x14ac:dyDescent="0.2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</row>
    <row r="199" spans="1:21" x14ac:dyDescent="0.2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</row>
    <row r="200" spans="1:21" x14ac:dyDescent="0.2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</row>
    <row r="201" spans="1:21" x14ac:dyDescent="0.2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</row>
    <row r="202" spans="1:21" x14ac:dyDescent="0.2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</row>
    <row r="203" spans="1:21" x14ac:dyDescent="0.2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</row>
    <row r="204" spans="1:21" x14ac:dyDescent="0.2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</row>
    <row r="205" spans="1:21" x14ac:dyDescent="0.2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</row>
    <row r="206" spans="1:21" x14ac:dyDescent="0.2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</row>
    <row r="207" spans="1:21" x14ac:dyDescent="0.2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</row>
    <row r="208" spans="1:21" x14ac:dyDescent="0.2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</row>
    <row r="209" spans="1:21" x14ac:dyDescent="0.2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</row>
    <row r="210" spans="1:21" x14ac:dyDescent="0.2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</row>
    <row r="211" spans="1:21" x14ac:dyDescent="0.2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</row>
    <row r="212" spans="1:21" x14ac:dyDescent="0.2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</row>
    <row r="213" spans="1:21" x14ac:dyDescent="0.2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</row>
    <row r="214" spans="1:21" x14ac:dyDescent="0.2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</row>
    <row r="215" spans="1:21" x14ac:dyDescent="0.2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</row>
    <row r="216" spans="1:21" x14ac:dyDescent="0.2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</row>
    <row r="217" spans="1:21" x14ac:dyDescent="0.2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</row>
    <row r="218" spans="1:21" x14ac:dyDescent="0.2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</row>
    <row r="219" spans="1:21" x14ac:dyDescent="0.2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</row>
    <row r="220" spans="1:21" x14ac:dyDescent="0.2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</row>
    <row r="221" spans="1:21" x14ac:dyDescent="0.2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</row>
    <row r="222" spans="1:21" x14ac:dyDescent="0.2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</row>
    <row r="223" spans="1:21" x14ac:dyDescent="0.2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</row>
    <row r="224" spans="1:21" x14ac:dyDescent="0.2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</row>
    <row r="225" spans="1:21" x14ac:dyDescent="0.2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</row>
    <row r="226" spans="1:21" x14ac:dyDescent="0.2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</row>
    <row r="227" spans="1:21" x14ac:dyDescent="0.2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</row>
    <row r="228" spans="1:21" x14ac:dyDescent="0.2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</row>
    <row r="229" spans="1:21" x14ac:dyDescent="0.2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</row>
    <row r="230" spans="1:21" x14ac:dyDescent="0.2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</row>
    <row r="231" spans="1:21" x14ac:dyDescent="0.2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</row>
    <row r="232" spans="1:21" x14ac:dyDescent="0.2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</row>
    <row r="233" spans="1:21" x14ac:dyDescent="0.2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</row>
    <row r="234" spans="1:21" x14ac:dyDescent="0.2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</row>
    <row r="235" spans="1:21" x14ac:dyDescent="0.2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</row>
    <row r="236" spans="1:21" x14ac:dyDescent="0.2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</row>
    <row r="237" spans="1:21" x14ac:dyDescent="0.2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</row>
    <row r="238" spans="1:21" x14ac:dyDescent="0.2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</row>
    <row r="239" spans="1:21" x14ac:dyDescent="0.2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</row>
    <row r="240" spans="1:21" x14ac:dyDescent="0.2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</row>
    <row r="241" spans="1:21" x14ac:dyDescent="0.2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</row>
    <row r="242" spans="1:21" x14ac:dyDescent="0.2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</row>
    <row r="243" spans="1:21" x14ac:dyDescent="0.2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</row>
    <row r="244" spans="1:21" x14ac:dyDescent="0.2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</row>
    <row r="245" spans="1:21" x14ac:dyDescent="0.2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</row>
    <row r="246" spans="1:21" x14ac:dyDescent="0.2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</row>
    <row r="247" spans="1:21" x14ac:dyDescent="0.2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</row>
    <row r="248" spans="1:21" x14ac:dyDescent="0.2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</row>
    <row r="249" spans="1:21" x14ac:dyDescent="0.2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</row>
    <row r="250" spans="1:21" x14ac:dyDescent="0.2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</row>
    <row r="251" spans="1:21" x14ac:dyDescent="0.2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</row>
    <row r="252" spans="1:21" x14ac:dyDescent="0.2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</row>
    <row r="253" spans="1:21" x14ac:dyDescent="0.2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</row>
    <row r="254" spans="1:21" x14ac:dyDescent="0.2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</row>
    <row r="255" spans="1:21" x14ac:dyDescent="0.2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</row>
    <row r="256" spans="1:21" x14ac:dyDescent="0.2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</row>
    <row r="257" spans="1:21" x14ac:dyDescent="0.2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</row>
    <row r="258" spans="1:21" x14ac:dyDescent="0.2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</row>
    <row r="259" spans="1:21" x14ac:dyDescent="0.2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</row>
    <row r="260" spans="1:21" x14ac:dyDescent="0.2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</row>
    <row r="261" spans="1:21" x14ac:dyDescent="0.2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</row>
    <row r="262" spans="1:21" x14ac:dyDescent="0.2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</row>
    <row r="263" spans="1:21" x14ac:dyDescent="0.2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</row>
    <row r="264" spans="1:21" x14ac:dyDescent="0.2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</row>
    <row r="265" spans="1:21" x14ac:dyDescent="0.2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</row>
    <row r="266" spans="1:21" x14ac:dyDescent="0.2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</row>
    <row r="267" spans="1:21" x14ac:dyDescent="0.2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</row>
    <row r="268" spans="1:21" x14ac:dyDescent="0.2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</row>
    <row r="269" spans="1:21" x14ac:dyDescent="0.2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</row>
    <row r="270" spans="1:21" x14ac:dyDescent="0.2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</row>
    <row r="271" spans="1:21" x14ac:dyDescent="0.2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</row>
    <row r="272" spans="1:21" x14ac:dyDescent="0.2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</row>
    <row r="273" spans="1:21" x14ac:dyDescent="0.2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</row>
    <row r="274" spans="1:21" x14ac:dyDescent="0.2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</row>
    <row r="275" spans="1:21" x14ac:dyDescent="0.2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</row>
    <row r="276" spans="1:21" x14ac:dyDescent="0.2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</row>
    <row r="277" spans="1:21" x14ac:dyDescent="0.2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</row>
    <row r="278" spans="1:21" x14ac:dyDescent="0.2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</row>
    <row r="279" spans="1:21" x14ac:dyDescent="0.2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</row>
    <row r="280" spans="1:21" x14ac:dyDescent="0.2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</row>
    <row r="281" spans="1:21" x14ac:dyDescent="0.2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</row>
    <row r="282" spans="1:21" x14ac:dyDescent="0.2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</row>
    <row r="283" spans="1:21" x14ac:dyDescent="0.2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</row>
    <row r="284" spans="1:21" x14ac:dyDescent="0.2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</row>
    <row r="285" spans="1:21" x14ac:dyDescent="0.2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</row>
    <row r="286" spans="1:21" x14ac:dyDescent="0.2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</row>
    <row r="287" spans="1:21" x14ac:dyDescent="0.2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</row>
    <row r="288" spans="1:21" x14ac:dyDescent="0.2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</row>
    <row r="289" spans="1:21" x14ac:dyDescent="0.2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</row>
    <row r="290" spans="1:21" x14ac:dyDescent="0.2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</row>
    <row r="291" spans="1:21" x14ac:dyDescent="0.2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</row>
    <row r="292" spans="1:21" x14ac:dyDescent="0.2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</row>
    <row r="293" spans="1:21" x14ac:dyDescent="0.2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</row>
    <row r="294" spans="1:21" x14ac:dyDescent="0.2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</row>
    <row r="295" spans="1:21" x14ac:dyDescent="0.2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</row>
    <row r="296" spans="1:21" x14ac:dyDescent="0.2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</row>
    <row r="297" spans="1:21" x14ac:dyDescent="0.2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</row>
    <row r="298" spans="1:21" x14ac:dyDescent="0.2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</row>
    <row r="299" spans="1:21" x14ac:dyDescent="0.2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</row>
    <row r="300" spans="1:21" x14ac:dyDescent="0.2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</row>
    <row r="301" spans="1:21" x14ac:dyDescent="0.2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</row>
    <row r="302" spans="1:21" x14ac:dyDescent="0.2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</row>
    <row r="303" spans="1:21" x14ac:dyDescent="0.2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</row>
    <row r="304" spans="1:21" x14ac:dyDescent="0.2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</row>
    <row r="305" spans="1:21" x14ac:dyDescent="0.2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</row>
    <row r="306" spans="1:21" x14ac:dyDescent="0.2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</row>
    <row r="307" spans="1:21" x14ac:dyDescent="0.2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</row>
    <row r="308" spans="1:21" x14ac:dyDescent="0.2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</row>
    <row r="309" spans="1:21" x14ac:dyDescent="0.2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</row>
    <row r="310" spans="1:21" x14ac:dyDescent="0.2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</row>
    <row r="311" spans="1:21" x14ac:dyDescent="0.2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</row>
    <row r="312" spans="1:21" x14ac:dyDescent="0.2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</row>
    <row r="313" spans="1:21" x14ac:dyDescent="0.2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</row>
    <row r="314" spans="1:21" x14ac:dyDescent="0.2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</row>
    <row r="315" spans="1:21" x14ac:dyDescent="0.2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</row>
    <row r="316" spans="1:21" x14ac:dyDescent="0.2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</row>
    <row r="317" spans="1:21" x14ac:dyDescent="0.2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</row>
    <row r="318" spans="1:21" x14ac:dyDescent="0.2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</row>
    <row r="319" spans="1:21" x14ac:dyDescent="0.2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</row>
    <row r="320" spans="1:21" x14ac:dyDescent="0.2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</row>
    <row r="321" spans="1:21" x14ac:dyDescent="0.2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</row>
    <row r="322" spans="1:21" x14ac:dyDescent="0.2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</row>
    <row r="323" spans="1:21" x14ac:dyDescent="0.2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</row>
    <row r="324" spans="1:21" x14ac:dyDescent="0.2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</row>
    <row r="325" spans="1:21" x14ac:dyDescent="0.2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</row>
    <row r="326" spans="1:21" x14ac:dyDescent="0.2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</row>
    <row r="327" spans="1:21" x14ac:dyDescent="0.2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</row>
    <row r="328" spans="1:21" x14ac:dyDescent="0.2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</row>
    <row r="329" spans="1:21" x14ac:dyDescent="0.2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</row>
    <row r="330" spans="1:21" x14ac:dyDescent="0.2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</row>
    <row r="331" spans="1:21" x14ac:dyDescent="0.2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</row>
    <row r="332" spans="1:21" x14ac:dyDescent="0.2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</row>
    <row r="333" spans="1:21" x14ac:dyDescent="0.2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</row>
    <row r="334" spans="1:21" x14ac:dyDescent="0.2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</row>
    <row r="335" spans="1:21" x14ac:dyDescent="0.2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</row>
    <row r="336" spans="1:21" x14ac:dyDescent="0.2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</row>
    <row r="337" spans="1:21" x14ac:dyDescent="0.2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</row>
    <row r="338" spans="1:21" x14ac:dyDescent="0.2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</row>
    <row r="339" spans="1:21" x14ac:dyDescent="0.2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</row>
    <row r="340" spans="1:21" x14ac:dyDescent="0.2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</row>
    <row r="341" spans="1:21" x14ac:dyDescent="0.2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</row>
    <row r="342" spans="1:21" x14ac:dyDescent="0.2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</row>
    <row r="343" spans="1:21" x14ac:dyDescent="0.2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</row>
    <row r="344" spans="1:21" x14ac:dyDescent="0.2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</row>
    <row r="345" spans="1:21" x14ac:dyDescent="0.2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</row>
    <row r="346" spans="1:21" x14ac:dyDescent="0.2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</row>
    <row r="347" spans="1:21" x14ac:dyDescent="0.2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</row>
    <row r="348" spans="1:21" x14ac:dyDescent="0.2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</row>
    <row r="349" spans="1:21" x14ac:dyDescent="0.2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</row>
    <row r="350" spans="1:21" x14ac:dyDescent="0.2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</row>
    <row r="351" spans="1:21" x14ac:dyDescent="0.2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</row>
    <row r="352" spans="1:21" x14ac:dyDescent="0.2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</row>
    <row r="353" spans="1:21" x14ac:dyDescent="0.2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</row>
    <row r="354" spans="1:21" x14ac:dyDescent="0.2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</row>
    <row r="355" spans="1:21" x14ac:dyDescent="0.2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</row>
    <row r="356" spans="1:21" x14ac:dyDescent="0.2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</row>
    <row r="357" spans="1:21" x14ac:dyDescent="0.2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</row>
    <row r="358" spans="1:21" x14ac:dyDescent="0.2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</row>
    <row r="359" spans="1:21" x14ac:dyDescent="0.2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</row>
    <row r="360" spans="1:21" x14ac:dyDescent="0.2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</row>
    <row r="361" spans="1:21" x14ac:dyDescent="0.2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</row>
    <row r="362" spans="1:21" x14ac:dyDescent="0.2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</row>
    <row r="363" spans="1:21" x14ac:dyDescent="0.2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</row>
    <row r="364" spans="1:21" x14ac:dyDescent="0.2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</row>
    <row r="365" spans="1:21" x14ac:dyDescent="0.2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</row>
    <row r="366" spans="1:21" x14ac:dyDescent="0.2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</row>
    <row r="367" spans="1:21" x14ac:dyDescent="0.2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</row>
    <row r="368" spans="1:21" x14ac:dyDescent="0.2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</row>
    <row r="369" spans="1:21" x14ac:dyDescent="0.2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</row>
    <row r="370" spans="1:21" x14ac:dyDescent="0.2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</row>
    <row r="371" spans="1:21" x14ac:dyDescent="0.2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</row>
    <row r="372" spans="1:21" x14ac:dyDescent="0.2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</row>
    <row r="373" spans="1:21" x14ac:dyDescent="0.2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</row>
    <row r="374" spans="1:21" x14ac:dyDescent="0.2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</row>
    <row r="375" spans="1:21" x14ac:dyDescent="0.2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</row>
    <row r="376" spans="1:21" x14ac:dyDescent="0.2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</row>
    <row r="377" spans="1:21" x14ac:dyDescent="0.2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</row>
    <row r="378" spans="1:21" x14ac:dyDescent="0.2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</row>
    <row r="379" spans="1:21" x14ac:dyDescent="0.2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</row>
    <row r="380" spans="1:21" x14ac:dyDescent="0.2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</row>
    <row r="381" spans="1:21" x14ac:dyDescent="0.2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</row>
    <row r="382" spans="1:21" x14ac:dyDescent="0.2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</row>
    <row r="383" spans="1:21" x14ac:dyDescent="0.2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</row>
    <row r="384" spans="1:21" x14ac:dyDescent="0.2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</row>
    <row r="385" spans="1:21" x14ac:dyDescent="0.2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</row>
    <row r="386" spans="1:21" x14ac:dyDescent="0.2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</row>
    <row r="387" spans="1:21" x14ac:dyDescent="0.2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</row>
    <row r="388" spans="1:21" x14ac:dyDescent="0.2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</row>
    <row r="389" spans="1:21" x14ac:dyDescent="0.2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</row>
    <row r="390" spans="1:21" x14ac:dyDescent="0.2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</row>
    <row r="391" spans="1:21" x14ac:dyDescent="0.2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</row>
    <row r="392" spans="1:21" x14ac:dyDescent="0.2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</row>
    <row r="393" spans="1:21" x14ac:dyDescent="0.2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</row>
    <row r="394" spans="1:21" x14ac:dyDescent="0.2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</row>
    <row r="395" spans="1:21" x14ac:dyDescent="0.2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</row>
    <row r="396" spans="1:21" x14ac:dyDescent="0.2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</row>
    <row r="397" spans="1:21" x14ac:dyDescent="0.2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</row>
    <row r="398" spans="1:21" x14ac:dyDescent="0.2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</row>
    <row r="399" spans="1:21" x14ac:dyDescent="0.2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</row>
    <row r="400" spans="1:21" x14ac:dyDescent="0.2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</row>
    <row r="401" spans="1:21" x14ac:dyDescent="0.2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</row>
    <row r="402" spans="1:21" x14ac:dyDescent="0.2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</row>
    <row r="403" spans="1:21" x14ac:dyDescent="0.2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</row>
    <row r="404" spans="1:21" x14ac:dyDescent="0.2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</row>
    <row r="405" spans="1:21" x14ac:dyDescent="0.2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</row>
    <row r="406" spans="1:21" x14ac:dyDescent="0.2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</row>
    <row r="407" spans="1:21" x14ac:dyDescent="0.2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</row>
    <row r="408" spans="1:21" x14ac:dyDescent="0.2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</row>
    <row r="409" spans="1:21" x14ac:dyDescent="0.2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</row>
    <row r="410" spans="1:21" x14ac:dyDescent="0.2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</row>
    <row r="411" spans="1:21" x14ac:dyDescent="0.2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</row>
    <row r="412" spans="1:21" x14ac:dyDescent="0.2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</row>
    <row r="413" spans="1:21" x14ac:dyDescent="0.2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</row>
    <row r="414" spans="1:21" x14ac:dyDescent="0.2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</row>
    <row r="415" spans="1:21" x14ac:dyDescent="0.2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</row>
    <row r="416" spans="1:21" x14ac:dyDescent="0.2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</row>
    <row r="417" spans="1:21" x14ac:dyDescent="0.2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</row>
    <row r="418" spans="1:21" x14ac:dyDescent="0.2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</row>
    <row r="419" spans="1:21" x14ac:dyDescent="0.2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</row>
    <row r="420" spans="1:21" x14ac:dyDescent="0.2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</row>
    <row r="421" spans="1:21" x14ac:dyDescent="0.2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</row>
    <row r="422" spans="1:21" x14ac:dyDescent="0.2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</row>
    <row r="423" spans="1:21" x14ac:dyDescent="0.2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</row>
    <row r="424" spans="1:21" x14ac:dyDescent="0.2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</row>
    <row r="425" spans="1:21" x14ac:dyDescent="0.2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</row>
    <row r="426" spans="1:21" x14ac:dyDescent="0.2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</row>
    <row r="427" spans="1:21" x14ac:dyDescent="0.2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</row>
    <row r="428" spans="1:21" x14ac:dyDescent="0.2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</row>
    <row r="429" spans="1:21" x14ac:dyDescent="0.2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</row>
    <row r="430" spans="1:21" x14ac:dyDescent="0.2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</row>
    <row r="431" spans="1:21" x14ac:dyDescent="0.2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</row>
    <row r="432" spans="1:21" x14ac:dyDescent="0.2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</row>
    <row r="433" spans="1:21" x14ac:dyDescent="0.2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</row>
    <row r="434" spans="1:21" x14ac:dyDescent="0.2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</row>
    <row r="435" spans="1:21" x14ac:dyDescent="0.2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</row>
    <row r="436" spans="1:21" x14ac:dyDescent="0.2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</row>
    <row r="437" spans="1:21" x14ac:dyDescent="0.2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</row>
    <row r="438" spans="1:21" x14ac:dyDescent="0.2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</row>
    <row r="439" spans="1:21" x14ac:dyDescent="0.2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</row>
    <row r="440" spans="1:21" x14ac:dyDescent="0.2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</row>
    <row r="441" spans="1:21" x14ac:dyDescent="0.2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</row>
    <row r="442" spans="1:21" x14ac:dyDescent="0.2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</row>
    <row r="443" spans="1:21" x14ac:dyDescent="0.2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</row>
    <row r="444" spans="1:21" x14ac:dyDescent="0.2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</row>
    <row r="445" spans="1:21" x14ac:dyDescent="0.2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</row>
    <row r="446" spans="1:21" x14ac:dyDescent="0.2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</row>
    <row r="447" spans="1:21" x14ac:dyDescent="0.2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</row>
    <row r="448" spans="1:21" x14ac:dyDescent="0.2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</row>
    <row r="449" spans="1:21" x14ac:dyDescent="0.2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</row>
    <row r="450" spans="1:21" x14ac:dyDescent="0.2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</row>
    <row r="451" spans="1:21" x14ac:dyDescent="0.2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</row>
    <row r="452" spans="1:21" x14ac:dyDescent="0.2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</row>
    <row r="453" spans="1:21" x14ac:dyDescent="0.2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</row>
    <row r="454" spans="1:21" x14ac:dyDescent="0.2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</row>
    <row r="455" spans="1:21" x14ac:dyDescent="0.2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</row>
    <row r="456" spans="1:21" x14ac:dyDescent="0.2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</row>
    <row r="457" spans="1:21" x14ac:dyDescent="0.2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</row>
    <row r="458" spans="1:21" x14ac:dyDescent="0.2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</row>
    <row r="459" spans="1:21" x14ac:dyDescent="0.2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</row>
    <row r="460" spans="1:21" x14ac:dyDescent="0.2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</row>
    <row r="461" spans="1:21" x14ac:dyDescent="0.2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</row>
    <row r="462" spans="1:21" x14ac:dyDescent="0.2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</row>
    <row r="463" spans="1:21" x14ac:dyDescent="0.2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</row>
    <row r="464" spans="1:21" x14ac:dyDescent="0.2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</row>
    <row r="465" spans="1:21" x14ac:dyDescent="0.2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</row>
    <row r="466" spans="1:21" x14ac:dyDescent="0.2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</row>
    <row r="467" spans="1:21" x14ac:dyDescent="0.2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</row>
    <row r="468" spans="1:21" x14ac:dyDescent="0.2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</row>
    <row r="469" spans="1:21" x14ac:dyDescent="0.2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</row>
    <row r="470" spans="1:21" x14ac:dyDescent="0.2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</row>
    <row r="471" spans="1:21" x14ac:dyDescent="0.2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</row>
    <row r="472" spans="1:21" x14ac:dyDescent="0.2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</row>
    <row r="473" spans="1:21" x14ac:dyDescent="0.2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</row>
    <row r="474" spans="1:21" x14ac:dyDescent="0.2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</row>
    <row r="475" spans="1:21" x14ac:dyDescent="0.2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</row>
    <row r="476" spans="1:21" x14ac:dyDescent="0.2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</row>
    <row r="477" spans="1:21" x14ac:dyDescent="0.2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</row>
    <row r="478" spans="1:21" x14ac:dyDescent="0.2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</row>
    <row r="479" spans="1:21" x14ac:dyDescent="0.2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</row>
    <row r="480" spans="1:21" x14ac:dyDescent="0.2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</row>
    <row r="481" spans="1:21" x14ac:dyDescent="0.2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</row>
    <row r="482" spans="1:21" x14ac:dyDescent="0.2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</row>
    <row r="483" spans="1:21" x14ac:dyDescent="0.2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</row>
    <row r="484" spans="1:21" x14ac:dyDescent="0.2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</row>
    <row r="485" spans="1:21" x14ac:dyDescent="0.2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</row>
    <row r="486" spans="1:21" x14ac:dyDescent="0.2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</row>
    <row r="487" spans="1:21" x14ac:dyDescent="0.2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</row>
    <row r="488" spans="1:21" x14ac:dyDescent="0.2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</row>
    <row r="489" spans="1:21" x14ac:dyDescent="0.2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</row>
    <row r="490" spans="1:21" x14ac:dyDescent="0.2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</row>
    <row r="491" spans="1:21" x14ac:dyDescent="0.2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</row>
    <row r="492" spans="1:21" x14ac:dyDescent="0.2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</row>
    <row r="493" spans="1:21" x14ac:dyDescent="0.2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</row>
    <row r="494" spans="1:21" x14ac:dyDescent="0.2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</row>
    <row r="495" spans="1:21" x14ac:dyDescent="0.2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</row>
    <row r="496" spans="1:21" x14ac:dyDescent="0.2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</row>
    <row r="497" spans="1:21" x14ac:dyDescent="0.2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</row>
    <row r="498" spans="1:21" x14ac:dyDescent="0.2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</row>
    <row r="499" spans="1:21" x14ac:dyDescent="0.2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</row>
    <row r="500" spans="1:21" x14ac:dyDescent="0.2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</row>
    <row r="501" spans="1:21" x14ac:dyDescent="0.2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</row>
    <row r="502" spans="1:21" x14ac:dyDescent="0.2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</row>
    <row r="503" spans="1:21" x14ac:dyDescent="0.2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</row>
    <row r="504" spans="1:21" x14ac:dyDescent="0.2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</row>
    <row r="505" spans="1:21" x14ac:dyDescent="0.2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</row>
    <row r="506" spans="1:21" x14ac:dyDescent="0.2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</row>
    <row r="507" spans="1:21" x14ac:dyDescent="0.2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</row>
    <row r="508" spans="1:21" x14ac:dyDescent="0.2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</row>
    <row r="509" spans="1:21" x14ac:dyDescent="0.2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</row>
    <row r="510" spans="1:21" x14ac:dyDescent="0.2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</row>
    <row r="511" spans="1:21" x14ac:dyDescent="0.2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</row>
    <row r="512" spans="1:21" x14ac:dyDescent="0.2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</row>
    <row r="513" spans="1:21" x14ac:dyDescent="0.2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</row>
    <row r="514" spans="1:21" x14ac:dyDescent="0.2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</row>
    <row r="515" spans="1:21" x14ac:dyDescent="0.2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</row>
    <row r="516" spans="1:21" x14ac:dyDescent="0.2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</row>
    <row r="517" spans="1:21" x14ac:dyDescent="0.2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</row>
    <row r="518" spans="1:21" x14ac:dyDescent="0.2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</row>
    <row r="519" spans="1:21" x14ac:dyDescent="0.2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</row>
    <row r="520" spans="1:21" x14ac:dyDescent="0.2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</row>
    <row r="521" spans="1:21" x14ac:dyDescent="0.2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</row>
    <row r="522" spans="1:21" x14ac:dyDescent="0.2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</row>
    <row r="523" spans="1:21" x14ac:dyDescent="0.2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</row>
    <row r="524" spans="1:21" x14ac:dyDescent="0.2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</row>
    <row r="525" spans="1:21" x14ac:dyDescent="0.2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</row>
    <row r="526" spans="1:21" x14ac:dyDescent="0.2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</row>
    <row r="527" spans="1:21" x14ac:dyDescent="0.2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</row>
    <row r="528" spans="1:21" x14ac:dyDescent="0.2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</row>
    <row r="529" spans="1:21" x14ac:dyDescent="0.2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</row>
    <row r="530" spans="1:21" x14ac:dyDescent="0.2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</row>
    <row r="531" spans="1:21" x14ac:dyDescent="0.2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</row>
    <row r="532" spans="1:21" x14ac:dyDescent="0.2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</row>
    <row r="533" spans="1:21" x14ac:dyDescent="0.2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</row>
    <row r="534" spans="1:21" x14ac:dyDescent="0.2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</row>
    <row r="535" spans="1:21" x14ac:dyDescent="0.2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</row>
    <row r="536" spans="1:21" x14ac:dyDescent="0.2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</row>
    <row r="537" spans="1:21" x14ac:dyDescent="0.2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</row>
    <row r="538" spans="1:21" x14ac:dyDescent="0.2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</row>
    <row r="539" spans="1:21" x14ac:dyDescent="0.2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</row>
    <row r="540" spans="1:21" x14ac:dyDescent="0.2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</row>
    <row r="541" spans="1:21" x14ac:dyDescent="0.2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</row>
    <row r="542" spans="1:21" x14ac:dyDescent="0.2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</row>
    <row r="543" spans="1:21" x14ac:dyDescent="0.2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</row>
    <row r="544" spans="1:21" x14ac:dyDescent="0.2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</row>
    <row r="545" spans="1:21" x14ac:dyDescent="0.2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</row>
    <row r="546" spans="1:21" x14ac:dyDescent="0.2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</row>
    <row r="547" spans="1:21" x14ac:dyDescent="0.2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</row>
    <row r="548" spans="1:21" x14ac:dyDescent="0.2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</row>
    <row r="549" spans="1:21" x14ac:dyDescent="0.2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</row>
    <row r="550" spans="1:21" x14ac:dyDescent="0.2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</row>
    <row r="551" spans="1:21" x14ac:dyDescent="0.2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</row>
    <row r="552" spans="1:21" x14ac:dyDescent="0.2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</row>
    <row r="553" spans="1:21" x14ac:dyDescent="0.2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</row>
    <row r="554" spans="1:21" x14ac:dyDescent="0.2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</row>
    <row r="555" spans="1:21" x14ac:dyDescent="0.2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</row>
    <row r="556" spans="1:21" x14ac:dyDescent="0.2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</row>
    <row r="557" spans="1:21" x14ac:dyDescent="0.2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</row>
    <row r="558" spans="1:21" x14ac:dyDescent="0.2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</row>
    <row r="559" spans="1:21" x14ac:dyDescent="0.2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</row>
    <row r="560" spans="1:21" x14ac:dyDescent="0.2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</row>
    <row r="561" spans="1:21" x14ac:dyDescent="0.2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</row>
    <row r="562" spans="1:21" x14ac:dyDescent="0.2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</row>
    <row r="563" spans="1:21" x14ac:dyDescent="0.2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</row>
    <row r="564" spans="1:21" x14ac:dyDescent="0.2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</row>
    <row r="565" spans="1:21" x14ac:dyDescent="0.2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</row>
    <row r="566" spans="1:21" x14ac:dyDescent="0.2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</row>
    <row r="567" spans="1:21" x14ac:dyDescent="0.2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</row>
    <row r="568" spans="1:21" x14ac:dyDescent="0.2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</row>
    <row r="569" spans="1:21" x14ac:dyDescent="0.2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</row>
    <row r="570" spans="1:21" x14ac:dyDescent="0.2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</row>
    <row r="571" spans="1:21" x14ac:dyDescent="0.2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</row>
    <row r="572" spans="1:21" x14ac:dyDescent="0.2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</row>
    <row r="573" spans="1:21" x14ac:dyDescent="0.2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</row>
    <row r="574" spans="1:21" x14ac:dyDescent="0.2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</row>
    <row r="575" spans="1:21" x14ac:dyDescent="0.2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</row>
    <row r="576" spans="1:21" x14ac:dyDescent="0.2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</row>
    <row r="577" spans="1:21" x14ac:dyDescent="0.2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</row>
    <row r="578" spans="1:21" x14ac:dyDescent="0.2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</row>
    <row r="579" spans="1:21" x14ac:dyDescent="0.2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</row>
    <row r="580" spans="1:21" x14ac:dyDescent="0.2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</row>
    <row r="581" spans="1:21" x14ac:dyDescent="0.2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</row>
    <row r="582" spans="1:21" x14ac:dyDescent="0.2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</row>
    <row r="583" spans="1:21" x14ac:dyDescent="0.2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</row>
    <row r="584" spans="1:21" x14ac:dyDescent="0.2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</row>
    <row r="585" spans="1:21" x14ac:dyDescent="0.2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</row>
    <row r="586" spans="1:21" x14ac:dyDescent="0.2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</row>
    <row r="587" spans="1:21" x14ac:dyDescent="0.2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</row>
    <row r="588" spans="1:21" x14ac:dyDescent="0.2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</row>
    <row r="589" spans="1:21" x14ac:dyDescent="0.2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</row>
    <row r="590" spans="1:21" x14ac:dyDescent="0.2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</row>
    <row r="591" spans="1:21" x14ac:dyDescent="0.2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</row>
    <row r="592" spans="1:21" x14ac:dyDescent="0.2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</row>
    <row r="593" spans="1:21" x14ac:dyDescent="0.2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</row>
    <row r="594" spans="1:21" x14ac:dyDescent="0.2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</row>
    <row r="595" spans="1:21" x14ac:dyDescent="0.2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</row>
    <row r="596" spans="1:21" x14ac:dyDescent="0.2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</row>
    <row r="597" spans="1:21" x14ac:dyDescent="0.2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</row>
    <row r="598" spans="1:21" x14ac:dyDescent="0.2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</row>
    <row r="599" spans="1:21" x14ac:dyDescent="0.2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</row>
    <row r="600" spans="1:21" x14ac:dyDescent="0.2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</row>
    <row r="601" spans="1:21" x14ac:dyDescent="0.2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</row>
    <row r="602" spans="1:21" x14ac:dyDescent="0.2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</row>
    <row r="603" spans="1:21" x14ac:dyDescent="0.2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</row>
    <row r="604" spans="1:21" x14ac:dyDescent="0.2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</row>
    <row r="605" spans="1:21" x14ac:dyDescent="0.2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</row>
    <row r="606" spans="1:21" x14ac:dyDescent="0.2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</row>
    <row r="607" spans="1:21" x14ac:dyDescent="0.2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</row>
    <row r="608" spans="1:21" x14ac:dyDescent="0.2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</row>
    <row r="609" spans="1:21" x14ac:dyDescent="0.2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</row>
    <row r="610" spans="1:21" x14ac:dyDescent="0.2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</row>
    <row r="611" spans="1:21" x14ac:dyDescent="0.2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</row>
    <row r="612" spans="1:21" x14ac:dyDescent="0.2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</row>
    <row r="613" spans="1:21" x14ac:dyDescent="0.2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</row>
    <row r="614" spans="1:21" x14ac:dyDescent="0.2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</row>
    <row r="615" spans="1:21" x14ac:dyDescent="0.2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</row>
    <row r="616" spans="1:21" x14ac:dyDescent="0.2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</row>
    <row r="617" spans="1:21" x14ac:dyDescent="0.2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</row>
    <row r="618" spans="1:21" x14ac:dyDescent="0.2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</row>
    <row r="619" spans="1:21" x14ac:dyDescent="0.2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</row>
    <row r="620" spans="1:21" x14ac:dyDescent="0.2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</row>
    <row r="621" spans="1:21" x14ac:dyDescent="0.2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</row>
    <row r="622" spans="1:21" x14ac:dyDescent="0.2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</row>
    <row r="623" spans="1:21" x14ac:dyDescent="0.2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</row>
    <row r="624" spans="1:21" x14ac:dyDescent="0.2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</row>
    <row r="625" spans="1:21" x14ac:dyDescent="0.2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</row>
    <row r="626" spans="1:21" x14ac:dyDescent="0.2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</row>
    <row r="627" spans="1:21" x14ac:dyDescent="0.2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</row>
    <row r="628" spans="1:21" x14ac:dyDescent="0.2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</row>
    <row r="629" spans="1:21" x14ac:dyDescent="0.2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</row>
    <row r="630" spans="1:21" x14ac:dyDescent="0.2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</row>
    <row r="631" spans="1:21" x14ac:dyDescent="0.2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</row>
    <row r="632" spans="1:21" x14ac:dyDescent="0.2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</row>
    <row r="633" spans="1:21" x14ac:dyDescent="0.2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</row>
    <row r="634" spans="1:21" x14ac:dyDescent="0.2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</row>
    <row r="635" spans="1:21" x14ac:dyDescent="0.2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</row>
    <row r="636" spans="1:21" x14ac:dyDescent="0.2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</row>
    <row r="637" spans="1:21" x14ac:dyDescent="0.2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</row>
    <row r="638" spans="1:21" x14ac:dyDescent="0.2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</row>
    <row r="639" spans="1:21" x14ac:dyDescent="0.2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</row>
    <row r="640" spans="1:21" x14ac:dyDescent="0.2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</row>
    <row r="641" spans="1:21" x14ac:dyDescent="0.2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</row>
    <row r="642" spans="1:21" x14ac:dyDescent="0.2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</row>
    <row r="643" spans="1:21" x14ac:dyDescent="0.2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</row>
    <row r="644" spans="1:21" x14ac:dyDescent="0.2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</row>
    <row r="645" spans="1:21" x14ac:dyDescent="0.2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</row>
    <row r="646" spans="1:21" x14ac:dyDescent="0.2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</row>
    <row r="647" spans="1:21" x14ac:dyDescent="0.2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</row>
    <row r="648" spans="1:21" x14ac:dyDescent="0.2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</row>
    <row r="649" spans="1:21" x14ac:dyDescent="0.2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</row>
    <row r="650" spans="1:21" x14ac:dyDescent="0.2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</row>
    <row r="651" spans="1:21" x14ac:dyDescent="0.2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</row>
    <row r="652" spans="1:21" x14ac:dyDescent="0.2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</row>
    <row r="653" spans="1:21" x14ac:dyDescent="0.2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</row>
    <row r="654" spans="1:21" x14ac:dyDescent="0.2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</row>
    <row r="655" spans="1:21" x14ac:dyDescent="0.2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</row>
    <row r="656" spans="1:21" x14ac:dyDescent="0.2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</row>
    <row r="657" spans="1:21" x14ac:dyDescent="0.2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</row>
    <row r="658" spans="1:21" x14ac:dyDescent="0.2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</row>
    <row r="659" spans="1:21" x14ac:dyDescent="0.2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</row>
    <row r="660" spans="1:21" x14ac:dyDescent="0.2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</row>
    <row r="661" spans="1:21" x14ac:dyDescent="0.2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</row>
    <row r="662" spans="1:21" x14ac:dyDescent="0.2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</row>
    <row r="663" spans="1:21" x14ac:dyDescent="0.2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</row>
    <row r="664" spans="1:21" x14ac:dyDescent="0.2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</row>
    <row r="665" spans="1:21" x14ac:dyDescent="0.2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</row>
    <row r="666" spans="1:21" x14ac:dyDescent="0.2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</row>
    <row r="667" spans="1:21" x14ac:dyDescent="0.2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</row>
    <row r="668" spans="1:21" x14ac:dyDescent="0.2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</row>
    <row r="669" spans="1:21" x14ac:dyDescent="0.2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</row>
    <row r="670" spans="1:21" x14ac:dyDescent="0.2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</row>
    <row r="671" spans="1:21" x14ac:dyDescent="0.2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</row>
    <row r="672" spans="1:21" x14ac:dyDescent="0.2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</row>
    <row r="673" spans="1:21" x14ac:dyDescent="0.2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</row>
    <row r="674" spans="1:21" x14ac:dyDescent="0.2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</row>
    <row r="675" spans="1:21" x14ac:dyDescent="0.2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</row>
    <row r="676" spans="1:21" x14ac:dyDescent="0.2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</row>
    <row r="677" spans="1:21" x14ac:dyDescent="0.2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</row>
    <row r="678" spans="1:21" x14ac:dyDescent="0.2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</row>
    <row r="679" spans="1:21" x14ac:dyDescent="0.2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</row>
    <row r="680" spans="1:21" x14ac:dyDescent="0.2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</row>
    <row r="681" spans="1:21" x14ac:dyDescent="0.2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</row>
    <row r="682" spans="1:21" x14ac:dyDescent="0.2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</row>
    <row r="683" spans="1:21" x14ac:dyDescent="0.2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</row>
    <row r="684" spans="1:21" x14ac:dyDescent="0.2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</row>
    <row r="685" spans="1:21" x14ac:dyDescent="0.2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</row>
    <row r="686" spans="1:21" x14ac:dyDescent="0.2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</row>
    <row r="687" spans="1:21" x14ac:dyDescent="0.2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</row>
    <row r="688" spans="1:21" x14ac:dyDescent="0.2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</row>
    <row r="689" spans="1:21" x14ac:dyDescent="0.2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</row>
    <row r="690" spans="1:21" x14ac:dyDescent="0.2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</row>
    <row r="691" spans="1:21" x14ac:dyDescent="0.2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</row>
    <row r="692" spans="1:21" x14ac:dyDescent="0.2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</row>
    <row r="693" spans="1:21" x14ac:dyDescent="0.2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</row>
    <row r="694" spans="1:21" x14ac:dyDescent="0.2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</row>
    <row r="695" spans="1:21" x14ac:dyDescent="0.2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</row>
    <row r="696" spans="1:21" x14ac:dyDescent="0.2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</row>
    <row r="697" spans="1:21" x14ac:dyDescent="0.2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</row>
    <row r="698" spans="1:21" x14ac:dyDescent="0.2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</row>
    <row r="699" spans="1:21" x14ac:dyDescent="0.2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</row>
    <row r="700" spans="1:21" x14ac:dyDescent="0.2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</row>
    <row r="701" spans="1:21" x14ac:dyDescent="0.2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</row>
    <row r="702" spans="1:21" x14ac:dyDescent="0.2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</row>
    <row r="703" spans="1:21" x14ac:dyDescent="0.2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</row>
    <row r="704" spans="1:21" x14ac:dyDescent="0.2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</row>
    <row r="705" spans="1:21" x14ac:dyDescent="0.2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</row>
    <row r="706" spans="1:21" x14ac:dyDescent="0.2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</row>
    <row r="707" spans="1:21" x14ac:dyDescent="0.2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</row>
    <row r="708" spans="1:21" x14ac:dyDescent="0.2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</row>
    <row r="709" spans="1:21" x14ac:dyDescent="0.2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</row>
    <row r="710" spans="1:21" x14ac:dyDescent="0.2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</row>
    <row r="711" spans="1:21" x14ac:dyDescent="0.2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</row>
    <row r="712" spans="1:21" x14ac:dyDescent="0.2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</row>
    <row r="713" spans="1:21" x14ac:dyDescent="0.2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</row>
    <row r="714" spans="1:21" x14ac:dyDescent="0.2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</row>
    <row r="715" spans="1:21" x14ac:dyDescent="0.2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</row>
    <row r="716" spans="1:21" x14ac:dyDescent="0.2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</row>
    <row r="717" spans="1:21" x14ac:dyDescent="0.2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</row>
    <row r="718" spans="1:21" x14ac:dyDescent="0.2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</row>
    <row r="719" spans="1:21" x14ac:dyDescent="0.2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</row>
    <row r="720" spans="1:21" x14ac:dyDescent="0.2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</row>
    <row r="721" spans="1:21" x14ac:dyDescent="0.2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</row>
    <row r="722" spans="1:21" x14ac:dyDescent="0.2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</row>
    <row r="723" spans="1:21" x14ac:dyDescent="0.2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</row>
    <row r="724" spans="1:21" x14ac:dyDescent="0.2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</row>
    <row r="725" spans="1:21" x14ac:dyDescent="0.2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</row>
    <row r="726" spans="1:21" x14ac:dyDescent="0.2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</row>
    <row r="727" spans="1:21" x14ac:dyDescent="0.2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</row>
    <row r="728" spans="1:21" x14ac:dyDescent="0.2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</row>
    <row r="729" spans="1:21" x14ac:dyDescent="0.2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</row>
    <row r="730" spans="1:21" x14ac:dyDescent="0.2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</row>
    <row r="731" spans="1:21" x14ac:dyDescent="0.2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</row>
    <row r="732" spans="1:21" x14ac:dyDescent="0.2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</row>
    <row r="733" spans="1:21" x14ac:dyDescent="0.2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</row>
    <row r="734" spans="1:21" x14ac:dyDescent="0.2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</row>
    <row r="735" spans="1:21" x14ac:dyDescent="0.2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</row>
    <row r="736" spans="1:21" x14ac:dyDescent="0.2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</row>
    <row r="737" spans="1:21" x14ac:dyDescent="0.2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</row>
    <row r="738" spans="1:21" x14ac:dyDescent="0.2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</row>
    <row r="739" spans="1:21" x14ac:dyDescent="0.2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</row>
    <row r="740" spans="1:21" x14ac:dyDescent="0.2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</row>
    <row r="741" spans="1:21" x14ac:dyDescent="0.2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</row>
    <row r="742" spans="1:21" x14ac:dyDescent="0.2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</row>
    <row r="743" spans="1:21" x14ac:dyDescent="0.2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</row>
    <row r="744" spans="1:21" x14ac:dyDescent="0.2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</row>
    <row r="745" spans="1:21" x14ac:dyDescent="0.2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</row>
    <row r="746" spans="1:21" x14ac:dyDescent="0.2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</row>
    <row r="747" spans="1:21" x14ac:dyDescent="0.2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</row>
    <row r="748" spans="1:21" x14ac:dyDescent="0.2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</row>
    <row r="749" spans="1:21" x14ac:dyDescent="0.2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</row>
    <row r="750" spans="1:21" x14ac:dyDescent="0.2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</row>
    <row r="751" spans="1:21" x14ac:dyDescent="0.2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</row>
    <row r="752" spans="1:21" x14ac:dyDescent="0.2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</row>
    <row r="753" spans="1:21" x14ac:dyDescent="0.2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</row>
    <row r="754" spans="1:21" x14ac:dyDescent="0.2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</row>
    <row r="755" spans="1:21" x14ac:dyDescent="0.2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</row>
    <row r="756" spans="1:21" x14ac:dyDescent="0.2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</row>
    <row r="757" spans="1:21" x14ac:dyDescent="0.2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</row>
    <row r="758" spans="1:21" x14ac:dyDescent="0.2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</row>
    <row r="759" spans="1:21" x14ac:dyDescent="0.2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</row>
    <row r="760" spans="1:21" x14ac:dyDescent="0.2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</row>
    <row r="761" spans="1:21" x14ac:dyDescent="0.2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</row>
    <row r="762" spans="1:21" x14ac:dyDescent="0.2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</row>
    <row r="763" spans="1:21" x14ac:dyDescent="0.2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</row>
    <row r="764" spans="1:21" x14ac:dyDescent="0.2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</row>
    <row r="765" spans="1:21" x14ac:dyDescent="0.2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</row>
    <row r="766" spans="1:21" x14ac:dyDescent="0.2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</row>
    <row r="767" spans="1:21" x14ac:dyDescent="0.2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</row>
    <row r="768" spans="1:21" x14ac:dyDescent="0.2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</row>
    <row r="769" spans="1:21" x14ac:dyDescent="0.2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</row>
    <row r="770" spans="1:21" x14ac:dyDescent="0.2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</row>
    <row r="771" spans="1:21" x14ac:dyDescent="0.2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</row>
    <row r="772" spans="1:21" x14ac:dyDescent="0.2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</row>
    <row r="773" spans="1:21" x14ac:dyDescent="0.2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</row>
    <row r="774" spans="1:21" x14ac:dyDescent="0.2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</row>
    <row r="775" spans="1:21" x14ac:dyDescent="0.2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</row>
    <row r="776" spans="1:21" x14ac:dyDescent="0.2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</row>
    <row r="777" spans="1:21" x14ac:dyDescent="0.2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</row>
    <row r="778" spans="1:21" x14ac:dyDescent="0.2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</row>
    <row r="779" spans="1:21" x14ac:dyDescent="0.2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</row>
    <row r="780" spans="1:21" x14ac:dyDescent="0.2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</row>
    <row r="781" spans="1:21" x14ac:dyDescent="0.2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</row>
    <row r="782" spans="1:21" x14ac:dyDescent="0.2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</row>
    <row r="783" spans="1:21" x14ac:dyDescent="0.2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</row>
    <row r="784" spans="1:21" x14ac:dyDescent="0.2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</row>
    <row r="785" spans="1:21" x14ac:dyDescent="0.2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</row>
    <row r="786" spans="1:21" x14ac:dyDescent="0.2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</row>
    <row r="787" spans="1:21" x14ac:dyDescent="0.2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</row>
    <row r="788" spans="1:21" x14ac:dyDescent="0.2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</row>
    <row r="789" spans="1:21" x14ac:dyDescent="0.2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</row>
    <row r="790" spans="1:21" x14ac:dyDescent="0.2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</row>
    <row r="791" spans="1:21" x14ac:dyDescent="0.2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</row>
    <row r="792" spans="1:21" x14ac:dyDescent="0.2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</row>
    <row r="793" spans="1:21" x14ac:dyDescent="0.2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</row>
    <row r="794" spans="1:21" x14ac:dyDescent="0.2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</row>
    <row r="795" spans="1:21" x14ac:dyDescent="0.2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</row>
    <row r="796" spans="1:21" x14ac:dyDescent="0.2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</row>
    <row r="797" spans="1:21" x14ac:dyDescent="0.2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</row>
    <row r="798" spans="1:21" x14ac:dyDescent="0.2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</row>
    <row r="799" spans="1:21" x14ac:dyDescent="0.2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</row>
    <row r="800" spans="1:21" x14ac:dyDescent="0.2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</row>
    <row r="801" spans="1:21" x14ac:dyDescent="0.2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</row>
    <row r="802" spans="1:21" x14ac:dyDescent="0.2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</row>
    <row r="803" spans="1:21" x14ac:dyDescent="0.2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</row>
    <row r="804" spans="1:21" x14ac:dyDescent="0.2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</row>
    <row r="805" spans="1:21" x14ac:dyDescent="0.2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</row>
    <row r="806" spans="1:21" x14ac:dyDescent="0.2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</row>
    <row r="807" spans="1:21" x14ac:dyDescent="0.2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</row>
    <row r="808" spans="1:21" x14ac:dyDescent="0.2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</row>
    <row r="809" spans="1:21" x14ac:dyDescent="0.2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</row>
    <row r="810" spans="1:21" x14ac:dyDescent="0.2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</row>
    <row r="811" spans="1:21" x14ac:dyDescent="0.2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</row>
    <row r="812" spans="1:21" x14ac:dyDescent="0.2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</row>
    <row r="813" spans="1:21" x14ac:dyDescent="0.2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</row>
    <row r="814" spans="1:21" x14ac:dyDescent="0.2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</row>
    <row r="815" spans="1:21" x14ac:dyDescent="0.2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</row>
    <row r="816" spans="1:21" x14ac:dyDescent="0.2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</row>
    <row r="817" spans="1:21" x14ac:dyDescent="0.2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</row>
    <row r="818" spans="1:21" x14ac:dyDescent="0.2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</row>
    <row r="819" spans="1:21" x14ac:dyDescent="0.2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</row>
    <row r="820" spans="1:21" x14ac:dyDescent="0.2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</row>
    <row r="821" spans="1:21" x14ac:dyDescent="0.2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</row>
    <row r="822" spans="1:21" x14ac:dyDescent="0.2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</row>
    <row r="823" spans="1:21" x14ac:dyDescent="0.2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</row>
    <row r="824" spans="1:21" x14ac:dyDescent="0.2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</row>
    <row r="825" spans="1:21" x14ac:dyDescent="0.2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</row>
    <row r="826" spans="1:21" x14ac:dyDescent="0.2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</row>
    <row r="827" spans="1:21" x14ac:dyDescent="0.2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</row>
    <row r="828" spans="1:21" x14ac:dyDescent="0.2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</row>
    <row r="829" spans="1:21" x14ac:dyDescent="0.2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</row>
    <row r="830" spans="1:21" x14ac:dyDescent="0.2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</row>
    <row r="831" spans="1:21" x14ac:dyDescent="0.2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</row>
    <row r="832" spans="1:21" x14ac:dyDescent="0.2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</row>
    <row r="833" spans="1:21" x14ac:dyDescent="0.2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</row>
    <row r="834" spans="1:21" x14ac:dyDescent="0.2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</row>
    <row r="835" spans="1:21" x14ac:dyDescent="0.2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</row>
    <row r="836" spans="1:21" x14ac:dyDescent="0.2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</row>
    <row r="837" spans="1:21" x14ac:dyDescent="0.2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</row>
    <row r="838" spans="1:21" x14ac:dyDescent="0.2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</row>
    <row r="839" spans="1:21" x14ac:dyDescent="0.2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</row>
    <row r="840" spans="1:21" x14ac:dyDescent="0.2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</row>
    <row r="841" spans="1:21" x14ac:dyDescent="0.2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</row>
    <row r="842" spans="1:21" x14ac:dyDescent="0.2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</row>
    <row r="843" spans="1:21" x14ac:dyDescent="0.2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</row>
    <row r="844" spans="1:21" x14ac:dyDescent="0.2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</row>
    <row r="845" spans="1:21" x14ac:dyDescent="0.2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</row>
    <row r="846" spans="1:21" x14ac:dyDescent="0.2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</row>
    <row r="847" spans="1:21" x14ac:dyDescent="0.2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</row>
    <row r="848" spans="1:21" x14ac:dyDescent="0.2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</row>
    <row r="849" spans="1:21" x14ac:dyDescent="0.2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</row>
    <row r="850" spans="1:21" x14ac:dyDescent="0.2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</row>
    <row r="851" spans="1:21" x14ac:dyDescent="0.2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</row>
    <row r="852" spans="1:21" x14ac:dyDescent="0.2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</row>
    <row r="853" spans="1:21" x14ac:dyDescent="0.2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</row>
    <row r="854" spans="1:21" x14ac:dyDescent="0.2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</row>
    <row r="855" spans="1:21" x14ac:dyDescent="0.2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</row>
    <row r="856" spans="1:21" x14ac:dyDescent="0.2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</row>
    <row r="857" spans="1:21" x14ac:dyDescent="0.2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</row>
    <row r="858" spans="1:21" x14ac:dyDescent="0.2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</row>
    <row r="859" spans="1:21" x14ac:dyDescent="0.2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</row>
    <row r="860" spans="1:21" x14ac:dyDescent="0.2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</row>
    <row r="861" spans="1:21" x14ac:dyDescent="0.2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</row>
    <row r="862" spans="1:21" x14ac:dyDescent="0.2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</row>
    <row r="863" spans="1:21" x14ac:dyDescent="0.2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</row>
    <row r="864" spans="1:21" x14ac:dyDescent="0.2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</row>
    <row r="865" spans="1:21" x14ac:dyDescent="0.2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</row>
    <row r="866" spans="1:21" x14ac:dyDescent="0.2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</row>
    <row r="867" spans="1:21" x14ac:dyDescent="0.2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</row>
    <row r="868" spans="1:21" x14ac:dyDescent="0.2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</row>
    <row r="869" spans="1:21" x14ac:dyDescent="0.2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</row>
    <row r="870" spans="1:21" x14ac:dyDescent="0.2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</row>
    <row r="871" spans="1:21" x14ac:dyDescent="0.2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</row>
    <row r="872" spans="1:21" x14ac:dyDescent="0.2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</row>
    <row r="873" spans="1:21" x14ac:dyDescent="0.2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</row>
    <row r="874" spans="1:21" x14ac:dyDescent="0.2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</row>
    <row r="875" spans="1:21" x14ac:dyDescent="0.2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</row>
    <row r="876" spans="1:21" x14ac:dyDescent="0.2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</row>
    <row r="877" spans="1:21" x14ac:dyDescent="0.2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</row>
    <row r="878" spans="1:21" x14ac:dyDescent="0.2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</row>
    <row r="879" spans="1:21" x14ac:dyDescent="0.2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</row>
    <row r="880" spans="1:21" x14ac:dyDescent="0.2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</row>
    <row r="881" spans="1:21" x14ac:dyDescent="0.2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</row>
    <row r="882" spans="1:21" x14ac:dyDescent="0.2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</row>
    <row r="883" spans="1:21" x14ac:dyDescent="0.2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</row>
    <row r="884" spans="1:21" x14ac:dyDescent="0.2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</row>
    <row r="885" spans="1:21" x14ac:dyDescent="0.2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</row>
    <row r="886" spans="1:21" x14ac:dyDescent="0.2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</row>
    <row r="887" spans="1:21" x14ac:dyDescent="0.2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</row>
    <row r="888" spans="1:21" x14ac:dyDescent="0.2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</row>
    <row r="889" spans="1:21" x14ac:dyDescent="0.2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</row>
    <row r="890" spans="1:21" x14ac:dyDescent="0.2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</row>
    <row r="891" spans="1:21" x14ac:dyDescent="0.2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</row>
    <row r="892" spans="1:21" x14ac:dyDescent="0.2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</row>
    <row r="893" spans="1:21" x14ac:dyDescent="0.2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</row>
    <row r="894" spans="1:21" x14ac:dyDescent="0.2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</row>
    <row r="895" spans="1:21" x14ac:dyDescent="0.2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</row>
    <row r="896" spans="1:21" x14ac:dyDescent="0.2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</row>
    <row r="897" spans="1:21" x14ac:dyDescent="0.2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</row>
    <row r="898" spans="1:21" x14ac:dyDescent="0.2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</row>
    <row r="899" spans="1:21" x14ac:dyDescent="0.2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</row>
    <row r="900" spans="1:21" x14ac:dyDescent="0.2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</row>
    <row r="901" spans="1:21" x14ac:dyDescent="0.2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</row>
    <row r="902" spans="1:21" x14ac:dyDescent="0.2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</row>
    <row r="903" spans="1:21" x14ac:dyDescent="0.2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</row>
    <row r="904" spans="1:21" x14ac:dyDescent="0.2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</row>
    <row r="905" spans="1:21" x14ac:dyDescent="0.2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</row>
    <row r="906" spans="1:21" x14ac:dyDescent="0.2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</row>
    <row r="907" spans="1:21" x14ac:dyDescent="0.2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</row>
    <row r="908" spans="1:21" x14ac:dyDescent="0.2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</row>
    <row r="909" spans="1:21" x14ac:dyDescent="0.2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</row>
    <row r="910" spans="1:21" x14ac:dyDescent="0.2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</row>
    <row r="911" spans="1:21" x14ac:dyDescent="0.2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</row>
    <row r="912" spans="1:21" x14ac:dyDescent="0.2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</row>
    <row r="913" spans="1:21" x14ac:dyDescent="0.2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</row>
    <row r="914" spans="1:21" x14ac:dyDescent="0.2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</row>
    <row r="915" spans="1:21" x14ac:dyDescent="0.2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</row>
    <row r="916" spans="1:21" x14ac:dyDescent="0.2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</row>
    <row r="917" spans="1:21" x14ac:dyDescent="0.2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</row>
    <row r="918" spans="1:21" x14ac:dyDescent="0.2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</row>
    <row r="919" spans="1:21" x14ac:dyDescent="0.2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</row>
    <row r="920" spans="1:21" x14ac:dyDescent="0.2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</row>
    <row r="921" spans="1:21" x14ac:dyDescent="0.2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</row>
    <row r="922" spans="1:21" x14ac:dyDescent="0.2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</row>
    <row r="923" spans="1:21" x14ac:dyDescent="0.2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</row>
    <row r="924" spans="1:21" x14ac:dyDescent="0.2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</row>
    <row r="925" spans="1:21" x14ac:dyDescent="0.2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</row>
    <row r="926" spans="1:21" x14ac:dyDescent="0.2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</row>
    <row r="927" spans="1:21" x14ac:dyDescent="0.2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</row>
    <row r="928" spans="1:21" x14ac:dyDescent="0.2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</row>
    <row r="929" spans="1:21" x14ac:dyDescent="0.2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</row>
    <row r="930" spans="1:21" x14ac:dyDescent="0.2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</row>
    <row r="931" spans="1:21" x14ac:dyDescent="0.2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</row>
    <row r="932" spans="1:21" x14ac:dyDescent="0.2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</row>
    <row r="933" spans="1:21" x14ac:dyDescent="0.2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</row>
    <row r="934" spans="1:21" x14ac:dyDescent="0.2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</row>
    <row r="935" spans="1:21" x14ac:dyDescent="0.2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</row>
    <row r="936" spans="1:21" x14ac:dyDescent="0.2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</row>
    <row r="937" spans="1:21" x14ac:dyDescent="0.2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</row>
    <row r="938" spans="1:21" x14ac:dyDescent="0.2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</row>
    <row r="939" spans="1:21" x14ac:dyDescent="0.2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</row>
    <row r="940" spans="1:21" x14ac:dyDescent="0.2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</row>
    <row r="941" spans="1:21" x14ac:dyDescent="0.2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</row>
    <row r="942" spans="1:21" x14ac:dyDescent="0.2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</row>
    <row r="943" spans="1:21" x14ac:dyDescent="0.2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</row>
    <row r="944" spans="1:21" x14ac:dyDescent="0.2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</row>
    <row r="945" spans="1:21" x14ac:dyDescent="0.2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</row>
    <row r="946" spans="1:21" x14ac:dyDescent="0.2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</row>
    <row r="947" spans="1:21" x14ac:dyDescent="0.2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</row>
    <row r="948" spans="1:21" x14ac:dyDescent="0.2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</row>
    <row r="949" spans="1:21" x14ac:dyDescent="0.2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</row>
    <row r="950" spans="1:21" x14ac:dyDescent="0.2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</row>
    <row r="951" spans="1:21" x14ac:dyDescent="0.2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</row>
    <row r="952" spans="1:21" x14ac:dyDescent="0.2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</row>
    <row r="953" spans="1:21" x14ac:dyDescent="0.2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</row>
    <row r="954" spans="1:21" x14ac:dyDescent="0.2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</row>
    <row r="955" spans="1:21" x14ac:dyDescent="0.2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</row>
    <row r="956" spans="1:21" x14ac:dyDescent="0.2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</row>
    <row r="957" spans="1:21" x14ac:dyDescent="0.2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</row>
    <row r="958" spans="1:21" x14ac:dyDescent="0.2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</row>
    <row r="959" spans="1:21" x14ac:dyDescent="0.2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</row>
    <row r="960" spans="1:21" x14ac:dyDescent="0.2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</row>
    <row r="961" spans="1:21" x14ac:dyDescent="0.2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</row>
    <row r="962" spans="1:21" x14ac:dyDescent="0.2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</row>
    <row r="963" spans="1:21" x14ac:dyDescent="0.2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</row>
    <row r="964" spans="1:21" x14ac:dyDescent="0.2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</row>
    <row r="965" spans="1:21" x14ac:dyDescent="0.2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</row>
    <row r="966" spans="1:21" x14ac:dyDescent="0.2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</row>
    <row r="967" spans="1:21" x14ac:dyDescent="0.2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</row>
    <row r="968" spans="1:21" x14ac:dyDescent="0.2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</row>
    <row r="969" spans="1:21" x14ac:dyDescent="0.2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</row>
    <row r="970" spans="1:21" x14ac:dyDescent="0.2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</row>
    <row r="971" spans="1:21" x14ac:dyDescent="0.2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</row>
    <row r="972" spans="1:21" x14ac:dyDescent="0.2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</row>
    <row r="973" spans="1:21" x14ac:dyDescent="0.2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</row>
    <row r="974" spans="1:21" x14ac:dyDescent="0.2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</row>
    <row r="975" spans="1:21" x14ac:dyDescent="0.2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</row>
    <row r="976" spans="1:21" x14ac:dyDescent="0.2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</row>
    <row r="977" spans="1:21" x14ac:dyDescent="0.2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</row>
    <row r="978" spans="1:21" x14ac:dyDescent="0.2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</row>
    <row r="979" spans="1:21" x14ac:dyDescent="0.2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</row>
    <row r="980" spans="1:21" x14ac:dyDescent="0.2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</row>
    <row r="981" spans="1:21" x14ac:dyDescent="0.2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</row>
    <row r="982" spans="1:21" x14ac:dyDescent="0.2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</row>
    <row r="983" spans="1:21" x14ac:dyDescent="0.2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</row>
    <row r="984" spans="1:21" x14ac:dyDescent="0.2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</row>
    <row r="985" spans="1:21" x14ac:dyDescent="0.2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</row>
    <row r="986" spans="1:21" x14ac:dyDescent="0.2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</row>
    <row r="987" spans="1:21" x14ac:dyDescent="0.2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</row>
    <row r="988" spans="1:21" x14ac:dyDescent="0.2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</row>
    <row r="989" spans="1:21" x14ac:dyDescent="0.2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</row>
    <row r="990" spans="1:21" x14ac:dyDescent="0.2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</row>
    <row r="991" spans="1:21" x14ac:dyDescent="0.2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</row>
    <row r="992" spans="1:21" x14ac:dyDescent="0.2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</row>
    <row r="993" spans="1:21" x14ac:dyDescent="0.2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</row>
    <row r="994" spans="1:21" x14ac:dyDescent="0.2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</row>
    <row r="995" spans="1:21" x14ac:dyDescent="0.2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</row>
    <row r="996" spans="1:21" x14ac:dyDescent="0.2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</row>
    <row r="997" spans="1:21" x14ac:dyDescent="0.2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</row>
    <row r="998" spans="1:21" x14ac:dyDescent="0.2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</row>
    <row r="999" spans="1:21" x14ac:dyDescent="0.2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</row>
    <row r="1000" spans="1:21" x14ac:dyDescent="0.2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</row>
    <row r="1001" spans="1:21" x14ac:dyDescent="0.2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</row>
  </sheetData>
  <mergeCells count="15">
    <mergeCell ref="A50:A53"/>
    <mergeCell ref="A57:A58"/>
    <mergeCell ref="C57:C58"/>
    <mergeCell ref="A59:A62"/>
    <mergeCell ref="F60:F72"/>
    <mergeCell ref="J23:K23"/>
    <mergeCell ref="B6:C6"/>
    <mergeCell ref="D6:E6"/>
    <mergeCell ref="F6:G6"/>
    <mergeCell ref="J6:J7"/>
    <mergeCell ref="D22:E22"/>
    <mergeCell ref="B23:C23"/>
    <mergeCell ref="D23:E23"/>
    <mergeCell ref="F23:G23"/>
    <mergeCell ref="H23:I23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61"/>
  <sheetViews>
    <sheetView zoomScale="110" zoomScaleNormal="110" workbookViewId="0">
      <selection activeCell="G37" sqref="G37"/>
    </sheetView>
  </sheetViews>
  <sheetFormatPr baseColWidth="10" defaultColWidth="8.83203125" defaultRowHeight="15" x14ac:dyDescent="0.2"/>
  <cols>
    <col min="1" max="1" width="4.33203125" bestFit="1" customWidth="1"/>
    <col min="2" max="2" width="39.5" style="68" customWidth="1"/>
    <col min="3" max="3" width="3.33203125" bestFit="1" customWidth="1"/>
    <col min="4" max="4" width="9.83203125" style="74" customWidth="1"/>
    <col min="5" max="5" width="7.83203125" bestFit="1" customWidth="1"/>
    <col min="7" max="7" width="12.1640625" bestFit="1" customWidth="1"/>
    <col min="8" max="8" width="9.6640625" bestFit="1" customWidth="1"/>
    <col min="9" max="9" width="9.83203125" style="74" customWidth="1"/>
    <col min="10" max="10" width="7.83203125" bestFit="1" customWidth="1"/>
    <col min="11" max="11" width="8.83203125" bestFit="1" customWidth="1"/>
    <col min="12" max="12" width="12.1640625" bestFit="1" customWidth="1"/>
    <col min="13" max="13" width="9.6640625" bestFit="1" customWidth="1"/>
    <col min="14" max="14" width="10.33203125" bestFit="1" customWidth="1"/>
    <col min="15" max="15" width="11.83203125" style="23" bestFit="1" customWidth="1"/>
  </cols>
  <sheetData>
    <row r="1" spans="1:14" ht="40" thickBot="1" x14ac:dyDescent="0.25">
      <c r="A1" s="332" t="s">
        <v>137</v>
      </c>
      <c r="B1" s="333" t="s">
        <v>138</v>
      </c>
      <c r="C1" s="333" t="s">
        <v>139</v>
      </c>
      <c r="D1" s="329" t="s">
        <v>349</v>
      </c>
      <c r="E1" s="330" t="s">
        <v>140</v>
      </c>
      <c r="F1" s="330" t="s">
        <v>350</v>
      </c>
      <c r="G1" s="330" t="s">
        <v>351</v>
      </c>
      <c r="H1" s="330" t="s">
        <v>352</v>
      </c>
      <c r="I1" s="349" t="s">
        <v>353</v>
      </c>
      <c r="J1" s="350" t="s">
        <v>140</v>
      </c>
      <c r="K1" s="350" t="s">
        <v>332</v>
      </c>
      <c r="L1" s="350" t="s">
        <v>333</v>
      </c>
      <c r="M1" s="350" t="s">
        <v>334</v>
      </c>
    </row>
    <row r="2" spans="1:14" ht="16" thickBot="1" x14ac:dyDescent="0.25">
      <c r="A2" s="24">
        <v>11</v>
      </c>
      <c r="B2" s="25" t="s">
        <v>141</v>
      </c>
      <c r="C2" s="26"/>
      <c r="D2" s="22"/>
      <c r="E2" s="27"/>
      <c r="F2" s="28">
        <f>+F3+F4+F5</f>
        <v>6868799.9999999991</v>
      </c>
      <c r="G2" s="28">
        <f>+G3+G4+G5</f>
        <v>0</v>
      </c>
      <c r="H2" s="28">
        <f>+H3+H4+H5</f>
        <v>6868799.9999999991</v>
      </c>
      <c r="I2" s="22"/>
      <c r="J2" s="27"/>
      <c r="K2" s="28">
        <f>+K3+K4+K5</f>
        <v>6868799.9999999991</v>
      </c>
      <c r="L2" s="28">
        <f>+L3+L4+L5</f>
        <v>0</v>
      </c>
      <c r="M2" s="28">
        <f>+M3+M4+M5</f>
        <v>6868799.9999999991</v>
      </c>
      <c r="N2" t="s">
        <v>303</v>
      </c>
    </row>
    <row r="3" spans="1:14" ht="19" thickBot="1" x14ac:dyDescent="0.25">
      <c r="A3" s="29">
        <v>111</v>
      </c>
      <c r="B3" s="30" t="s">
        <v>142</v>
      </c>
      <c r="C3" s="31" t="s">
        <v>143</v>
      </c>
      <c r="D3" s="32">
        <f>180000</f>
        <v>180000</v>
      </c>
      <c r="E3" s="33">
        <f>31.8*1.2</f>
        <v>38.159999999999997</v>
      </c>
      <c r="F3" s="34">
        <f>+D3*E3</f>
        <v>6868799.9999999991</v>
      </c>
      <c r="G3" s="33"/>
      <c r="H3" s="34">
        <f t="shared" ref="H3:H5" si="0">+F3+G3</f>
        <v>6868799.9999999991</v>
      </c>
      <c r="I3" s="352">
        <v>180000</v>
      </c>
      <c r="J3" s="353">
        <v>38.159999999999997</v>
      </c>
      <c r="K3" s="354">
        <f>+I3*J3</f>
        <v>6868799.9999999991</v>
      </c>
      <c r="L3" s="353"/>
      <c r="M3" s="354">
        <f t="shared" ref="M3:M21" si="1">+K3+L3</f>
        <v>6868799.9999999991</v>
      </c>
      <c r="N3" s="366" t="s">
        <v>303</v>
      </c>
    </row>
    <row r="4" spans="1:14" ht="19" thickBot="1" x14ac:dyDescent="0.25">
      <c r="A4" s="29">
        <v>112</v>
      </c>
      <c r="B4" s="30" t="s">
        <v>144</v>
      </c>
      <c r="C4" s="31" t="s">
        <v>143</v>
      </c>
      <c r="D4" s="32">
        <v>0</v>
      </c>
      <c r="E4" s="33">
        <f>79*1.1</f>
        <v>86.9</v>
      </c>
      <c r="F4" s="34">
        <f>+D4*E4</f>
        <v>0</v>
      </c>
      <c r="G4" s="33"/>
      <c r="H4" s="34">
        <f t="shared" si="0"/>
        <v>0</v>
      </c>
      <c r="I4" s="352">
        <v>0</v>
      </c>
      <c r="J4" s="353">
        <f>79*1.2</f>
        <v>94.8</v>
      </c>
      <c r="K4" s="354">
        <f>+I4*J4</f>
        <v>0</v>
      </c>
      <c r="L4" s="353"/>
      <c r="M4" s="354">
        <f t="shared" si="1"/>
        <v>0</v>
      </c>
      <c r="N4" s="366"/>
    </row>
    <row r="5" spans="1:14" ht="19" thickBot="1" x14ac:dyDescent="0.25">
      <c r="A5" s="29">
        <v>113</v>
      </c>
      <c r="B5" s="30" t="s">
        <v>145</v>
      </c>
      <c r="C5" s="31" t="s">
        <v>143</v>
      </c>
      <c r="D5" s="32">
        <v>0</v>
      </c>
      <c r="E5" s="33">
        <f>79*1.2</f>
        <v>94.8</v>
      </c>
      <c r="F5" s="34">
        <f>+D5*E5</f>
        <v>0</v>
      </c>
      <c r="G5" s="33"/>
      <c r="H5" s="34">
        <f t="shared" si="0"/>
        <v>0</v>
      </c>
      <c r="I5" s="352">
        <v>0</v>
      </c>
      <c r="J5" s="353">
        <f>79*1.2</f>
        <v>94.8</v>
      </c>
      <c r="K5" s="354">
        <f>+I5*J5</f>
        <v>0</v>
      </c>
      <c r="L5" s="353"/>
      <c r="M5" s="354">
        <f t="shared" si="1"/>
        <v>0</v>
      </c>
      <c r="N5" s="366"/>
    </row>
    <row r="6" spans="1:14" ht="19" thickBot="1" x14ac:dyDescent="0.25">
      <c r="A6" s="24">
        <v>12</v>
      </c>
      <c r="B6" s="25" t="s">
        <v>146</v>
      </c>
      <c r="C6" s="26" t="s">
        <v>147</v>
      </c>
      <c r="D6" s="22">
        <v>50</v>
      </c>
      <c r="E6" s="27">
        <f>16525*1.2</f>
        <v>19830</v>
      </c>
      <c r="F6" s="28">
        <f>+D6*E6</f>
        <v>991500</v>
      </c>
      <c r="G6" s="35"/>
      <c r="H6" s="28">
        <f>+F6+G6</f>
        <v>991500</v>
      </c>
      <c r="I6" s="22">
        <v>50</v>
      </c>
      <c r="J6" s="27">
        <f>16525*1.2</f>
        <v>19830</v>
      </c>
      <c r="K6" s="28">
        <f>+I6*J6</f>
        <v>991500</v>
      </c>
      <c r="L6" s="35"/>
      <c r="M6" s="28">
        <f>+K6+L6</f>
        <v>991500</v>
      </c>
      <c r="N6" s="366" t="s">
        <v>303</v>
      </c>
    </row>
    <row r="7" spans="1:14" ht="16" thickBot="1" x14ac:dyDescent="0.25">
      <c r="A7" s="24">
        <v>13</v>
      </c>
      <c r="B7" s="25" t="s">
        <v>148</v>
      </c>
      <c r="C7" s="26"/>
      <c r="D7" s="36"/>
      <c r="E7" s="27"/>
      <c r="F7" s="28">
        <f>SUM(F8:F17)</f>
        <v>21442300</v>
      </c>
      <c r="G7" s="28">
        <f>SUM(G8:G17)</f>
        <v>1318000</v>
      </c>
      <c r="H7" s="28">
        <f>+F7+G7</f>
        <v>22760300</v>
      </c>
      <c r="I7" s="36"/>
      <c r="J7" s="27"/>
      <c r="K7" s="28">
        <f>SUM(K8:K17)</f>
        <v>19977430</v>
      </c>
      <c r="L7" s="28">
        <f>SUM(L8:L17)</f>
        <v>802000</v>
      </c>
      <c r="M7" s="28">
        <f>+K7+L7</f>
        <v>20779430</v>
      </c>
      <c r="N7" t="s">
        <v>303</v>
      </c>
    </row>
    <row r="8" spans="1:14" ht="19" thickBot="1" x14ac:dyDescent="0.25">
      <c r="A8" s="29">
        <v>131</v>
      </c>
      <c r="B8" s="30" t="s">
        <v>149</v>
      </c>
      <c r="C8" s="31" t="s">
        <v>133</v>
      </c>
      <c r="D8" s="37">
        <v>800</v>
      </c>
      <c r="E8" s="33">
        <v>400</v>
      </c>
      <c r="F8" s="34"/>
      <c r="G8" s="34">
        <f>E8*D8</f>
        <v>320000</v>
      </c>
      <c r="H8" s="34">
        <f>+F8+G8</f>
        <v>320000</v>
      </c>
      <c r="I8" s="355">
        <v>700</v>
      </c>
      <c r="J8" s="353">
        <v>300</v>
      </c>
      <c r="K8" s="354"/>
      <c r="L8" s="354">
        <f>J8*I8</f>
        <v>210000</v>
      </c>
      <c r="M8" s="354">
        <f t="shared" si="1"/>
        <v>210000</v>
      </c>
      <c r="N8" s="366" t="s">
        <v>303</v>
      </c>
    </row>
    <row r="9" spans="1:14" ht="19" thickBot="1" x14ac:dyDescent="0.25">
      <c r="A9" s="29">
        <v>132</v>
      </c>
      <c r="B9" s="30" t="s">
        <v>150</v>
      </c>
      <c r="C9" s="31" t="s">
        <v>133</v>
      </c>
      <c r="D9" s="37">
        <v>200</v>
      </c>
      <c r="E9" s="33">
        <v>1200</v>
      </c>
      <c r="F9" s="34"/>
      <c r="G9" s="34">
        <f t="shared" ref="G9:G11" si="2">E9*D9</f>
        <v>240000</v>
      </c>
      <c r="H9" s="34">
        <f t="shared" ref="H9:H21" si="3">+F9+G9</f>
        <v>240000</v>
      </c>
      <c r="I9" s="355">
        <v>180</v>
      </c>
      <c r="J9" s="353">
        <v>800</v>
      </c>
      <c r="K9" s="354"/>
      <c r="L9" s="354">
        <f t="shared" ref="L9:L11" si="4">J9*I9</f>
        <v>144000</v>
      </c>
      <c r="M9" s="354">
        <f t="shared" si="1"/>
        <v>144000</v>
      </c>
      <c r="N9" s="366" t="s">
        <v>303</v>
      </c>
    </row>
    <row r="10" spans="1:14" ht="19" thickBot="1" x14ac:dyDescent="0.25">
      <c r="A10" s="29">
        <v>133</v>
      </c>
      <c r="B10" s="30" t="s">
        <v>151</v>
      </c>
      <c r="C10" s="31" t="s">
        <v>133</v>
      </c>
      <c r="D10" s="37">
        <v>100</v>
      </c>
      <c r="E10" s="33">
        <v>1800</v>
      </c>
      <c r="F10" s="34"/>
      <c r="G10" s="34">
        <f t="shared" si="2"/>
        <v>180000</v>
      </c>
      <c r="H10" s="34">
        <f t="shared" si="3"/>
        <v>180000</v>
      </c>
      <c r="I10" s="355">
        <v>80</v>
      </c>
      <c r="J10" s="353">
        <v>1400</v>
      </c>
      <c r="K10" s="354"/>
      <c r="L10" s="354">
        <f t="shared" si="4"/>
        <v>112000</v>
      </c>
      <c r="M10" s="354">
        <f t="shared" si="1"/>
        <v>112000</v>
      </c>
      <c r="N10" s="366" t="s">
        <v>303</v>
      </c>
    </row>
    <row r="11" spans="1:14" ht="19" thickBot="1" x14ac:dyDescent="0.25">
      <c r="A11" s="29">
        <v>134</v>
      </c>
      <c r="B11" s="30" t="s">
        <v>152</v>
      </c>
      <c r="C11" s="31" t="s">
        <v>133</v>
      </c>
      <c r="D11" s="37">
        <v>20</v>
      </c>
      <c r="E11" s="34">
        <f>22000*1.2</f>
        <v>26400</v>
      </c>
      <c r="F11" s="34"/>
      <c r="G11" s="34">
        <f t="shared" si="2"/>
        <v>528000</v>
      </c>
      <c r="H11" s="34">
        <f t="shared" si="3"/>
        <v>528000</v>
      </c>
      <c r="I11" s="355">
        <v>13</v>
      </c>
      <c r="J11" s="354">
        <v>22000</v>
      </c>
      <c r="K11" s="354"/>
      <c r="L11" s="354">
        <f t="shared" si="4"/>
        <v>286000</v>
      </c>
      <c r="M11" s="354">
        <f t="shared" si="1"/>
        <v>286000</v>
      </c>
      <c r="N11" s="366" t="s">
        <v>303</v>
      </c>
    </row>
    <row r="12" spans="1:14" ht="27" thickBot="1" x14ac:dyDescent="0.25">
      <c r="A12" s="29">
        <v>135</v>
      </c>
      <c r="B12" s="30" t="s">
        <v>153</v>
      </c>
      <c r="C12" s="31" t="s">
        <v>147</v>
      </c>
      <c r="D12" s="37">
        <v>1850</v>
      </c>
      <c r="E12" s="33">
        <v>4246</v>
      </c>
      <c r="F12" s="34">
        <f t="shared" ref="F12:F13" si="5">+D12*E12</f>
        <v>7855100</v>
      </c>
      <c r="G12" s="33"/>
      <c r="H12" s="34">
        <f t="shared" si="3"/>
        <v>7855100</v>
      </c>
      <c r="I12" s="355">
        <v>1800</v>
      </c>
      <c r="J12" s="353">
        <v>4246</v>
      </c>
      <c r="K12" s="354">
        <f t="shared" ref="K12:K13" si="6">+I12*J12</f>
        <v>7642800</v>
      </c>
      <c r="L12" s="353"/>
      <c r="M12" s="354">
        <f t="shared" si="1"/>
        <v>7642800</v>
      </c>
      <c r="N12" s="366" t="s">
        <v>303</v>
      </c>
    </row>
    <row r="13" spans="1:14" ht="19" thickBot="1" x14ac:dyDescent="0.25">
      <c r="A13" s="29">
        <v>136</v>
      </c>
      <c r="B13" s="30" t="s">
        <v>154</v>
      </c>
      <c r="C13" s="31" t="s">
        <v>147</v>
      </c>
      <c r="D13" s="37">
        <v>1100</v>
      </c>
      <c r="E13" s="33">
        <v>4246</v>
      </c>
      <c r="F13" s="34">
        <f t="shared" si="5"/>
        <v>4670600</v>
      </c>
      <c r="G13" s="33"/>
      <c r="H13" s="34">
        <f t="shared" si="3"/>
        <v>4670600</v>
      </c>
      <c r="I13" s="355">
        <v>1100</v>
      </c>
      <c r="J13" s="353">
        <v>4246</v>
      </c>
      <c r="K13" s="354">
        <f t="shared" si="6"/>
        <v>4670600</v>
      </c>
      <c r="L13" s="353"/>
      <c r="M13" s="354">
        <f t="shared" si="1"/>
        <v>4670600</v>
      </c>
      <c r="N13" s="366" t="s">
        <v>303</v>
      </c>
    </row>
    <row r="14" spans="1:14" ht="19" thickBot="1" x14ac:dyDescent="0.25">
      <c r="A14" s="29">
        <v>138</v>
      </c>
      <c r="B14" s="30" t="s">
        <v>155</v>
      </c>
      <c r="C14" s="31" t="s">
        <v>147</v>
      </c>
      <c r="D14" s="37">
        <v>1500</v>
      </c>
      <c r="E14" s="33">
        <v>4246</v>
      </c>
      <c r="F14" s="34">
        <f>+D14*E14</f>
        <v>6369000</v>
      </c>
      <c r="G14" s="33"/>
      <c r="H14" s="34">
        <f t="shared" si="3"/>
        <v>6369000</v>
      </c>
      <c r="I14" s="355">
        <v>1250</v>
      </c>
      <c r="J14" s="353">
        <v>4246</v>
      </c>
      <c r="K14" s="354">
        <f>+I14*J14</f>
        <v>5307500</v>
      </c>
      <c r="L14" s="353"/>
      <c r="M14" s="354">
        <f t="shared" si="1"/>
        <v>5307500</v>
      </c>
      <c r="N14" s="366" t="s">
        <v>303</v>
      </c>
    </row>
    <row r="15" spans="1:14" ht="19" thickBot="1" x14ac:dyDescent="0.25">
      <c r="A15" s="29">
        <v>139</v>
      </c>
      <c r="B15" s="30" t="s">
        <v>156</v>
      </c>
      <c r="C15" s="31" t="s">
        <v>147</v>
      </c>
      <c r="D15" s="37">
        <v>100</v>
      </c>
      <c r="E15" s="33">
        <v>4246</v>
      </c>
      <c r="F15" s="34">
        <f>+D15*E15</f>
        <v>424600</v>
      </c>
      <c r="G15" s="33">
        <v>0</v>
      </c>
      <c r="H15" s="34">
        <f t="shared" si="3"/>
        <v>424600</v>
      </c>
      <c r="I15" s="355">
        <v>85</v>
      </c>
      <c r="J15" s="353">
        <v>4246</v>
      </c>
      <c r="K15" s="354">
        <f>+I15*J15</f>
        <v>360910</v>
      </c>
      <c r="L15" s="353">
        <v>0</v>
      </c>
      <c r="M15" s="354">
        <f t="shared" si="1"/>
        <v>360910</v>
      </c>
      <c r="N15" s="366" t="s">
        <v>303</v>
      </c>
    </row>
    <row r="16" spans="1:14" ht="19" thickBot="1" x14ac:dyDescent="0.25">
      <c r="A16" s="29">
        <v>1391</v>
      </c>
      <c r="B16" s="30" t="s">
        <v>157</v>
      </c>
      <c r="C16" s="31"/>
      <c r="D16" s="37"/>
      <c r="E16" s="34"/>
      <c r="F16" s="34">
        <v>0</v>
      </c>
      <c r="G16" s="38">
        <v>50000</v>
      </c>
      <c r="H16" s="34">
        <f t="shared" si="3"/>
        <v>50000</v>
      </c>
      <c r="I16" s="355"/>
      <c r="J16" s="354"/>
      <c r="K16" s="354">
        <v>0</v>
      </c>
      <c r="L16" s="356">
        <v>50000</v>
      </c>
      <c r="M16" s="354">
        <f t="shared" si="1"/>
        <v>50000</v>
      </c>
      <c r="N16" s="366" t="s">
        <v>303</v>
      </c>
    </row>
    <row r="17" spans="1:14" ht="19" thickBot="1" x14ac:dyDescent="0.25">
      <c r="A17" s="29">
        <v>130</v>
      </c>
      <c r="B17" s="30" t="s">
        <v>158</v>
      </c>
      <c r="C17" s="31" t="s">
        <v>147</v>
      </c>
      <c r="D17" s="37">
        <v>500</v>
      </c>
      <c r="E17" s="33">
        <v>4246</v>
      </c>
      <c r="F17" s="34">
        <f t="shared" ref="F17" si="7">+D17*E17</f>
        <v>2123000</v>
      </c>
      <c r="G17" s="33"/>
      <c r="H17" s="34">
        <f t="shared" si="3"/>
        <v>2123000</v>
      </c>
      <c r="I17" s="355">
        <v>470</v>
      </c>
      <c r="J17" s="353">
        <v>4246</v>
      </c>
      <c r="K17" s="354">
        <f t="shared" ref="K17" si="8">+I17*J17</f>
        <v>1995620</v>
      </c>
      <c r="L17" s="353"/>
      <c r="M17" s="354">
        <f t="shared" si="1"/>
        <v>1995620</v>
      </c>
      <c r="N17" s="366" t="s">
        <v>303</v>
      </c>
    </row>
    <row r="18" spans="1:14" ht="16" thickBot="1" x14ac:dyDescent="0.25">
      <c r="A18" s="24">
        <v>14</v>
      </c>
      <c r="B18" s="25" t="s">
        <v>159</v>
      </c>
      <c r="C18" s="39"/>
      <c r="D18" s="40"/>
      <c r="E18" s="41"/>
      <c r="F18" s="42">
        <f>SUM(F19:F21)</f>
        <v>1507330</v>
      </c>
      <c r="G18" s="42">
        <f>SUM(G19:G21)</f>
        <v>0</v>
      </c>
      <c r="H18" s="42">
        <f t="shared" si="3"/>
        <v>1507330</v>
      </c>
      <c r="I18" s="40"/>
      <c r="J18" s="41"/>
      <c r="K18" s="42">
        <f>SUM(K19:K21)</f>
        <v>1507330</v>
      </c>
      <c r="L18" s="42">
        <f>SUM(L19:L21)</f>
        <v>0</v>
      </c>
      <c r="M18" s="42">
        <f t="shared" si="1"/>
        <v>1507330</v>
      </c>
      <c r="N18" t="s">
        <v>303</v>
      </c>
    </row>
    <row r="19" spans="1:14" ht="19" thickBot="1" x14ac:dyDescent="0.25">
      <c r="A19" s="29">
        <v>141</v>
      </c>
      <c r="B19" s="30" t="s">
        <v>160</v>
      </c>
      <c r="C19" s="43" t="s">
        <v>147</v>
      </c>
      <c r="D19" s="37">
        <v>320</v>
      </c>
      <c r="E19" s="33">
        <v>4246</v>
      </c>
      <c r="F19" s="44">
        <f>+D19*E19</f>
        <v>1358720</v>
      </c>
      <c r="G19" s="33"/>
      <c r="H19" s="34">
        <f t="shared" si="3"/>
        <v>1358720</v>
      </c>
      <c r="I19" s="355">
        <v>320</v>
      </c>
      <c r="J19" s="353">
        <v>4246</v>
      </c>
      <c r="K19" s="357">
        <f>+I19*J19</f>
        <v>1358720</v>
      </c>
      <c r="L19" s="353"/>
      <c r="M19" s="354">
        <f t="shared" si="1"/>
        <v>1358720</v>
      </c>
      <c r="N19" s="366" t="s">
        <v>303</v>
      </c>
    </row>
    <row r="20" spans="1:14" ht="16" thickBot="1" x14ac:dyDescent="0.25">
      <c r="A20" s="29">
        <v>142</v>
      </c>
      <c r="B20" s="30" t="s">
        <v>161</v>
      </c>
      <c r="C20" s="43" t="s">
        <v>134</v>
      </c>
      <c r="D20" s="37"/>
      <c r="E20" s="44"/>
      <c r="F20" s="44">
        <f>+D20*E20</f>
        <v>0</v>
      </c>
      <c r="G20" s="33"/>
      <c r="H20" s="34">
        <f t="shared" si="3"/>
        <v>0</v>
      </c>
      <c r="I20" s="355"/>
      <c r="J20" s="357"/>
      <c r="K20" s="357">
        <f>+I20*J20</f>
        <v>0</v>
      </c>
      <c r="L20" s="353"/>
      <c r="M20" s="354">
        <f t="shared" si="1"/>
        <v>0</v>
      </c>
      <c r="N20" t="s">
        <v>303</v>
      </c>
    </row>
    <row r="21" spans="1:14" ht="19" thickBot="1" x14ac:dyDescent="0.25">
      <c r="A21" s="29">
        <v>143</v>
      </c>
      <c r="B21" s="30" t="s">
        <v>162</v>
      </c>
      <c r="C21" s="31" t="s">
        <v>147</v>
      </c>
      <c r="D21" s="37">
        <v>35</v>
      </c>
      <c r="E21" s="44">
        <v>4246</v>
      </c>
      <c r="F21" s="44">
        <f>+D21*E21</f>
        <v>148610</v>
      </c>
      <c r="G21" s="33"/>
      <c r="H21" s="34">
        <f t="shared" si="3"/>
        <v>148610</v>
      </c>
      <c r="I21" s="355">
        <v>35</v>
      </c>
      <c r="J21" s="357">
        <v>4246</v>
      </c>
      <c r="K21" s="357">
        <f>+I21*J21</f>
        <v>148610</v>
      </c>
      <c r="L21" s="353"/>
      <c r="M21" s="354">
        <f t="shared" si="1"/>
        <v>148610</v>
      </c>
      <c r="N21" s="366" t="s">
        <v>303</v>
      </c>
    </row>
    <row r="22" spans="1:14" ht="16" thickBot="1" x14ac:dyDescent="0.25">
      <c r="A22" s="24">
        <v>16</v>
      </c>
      <c r="B22" s="25" t="s">
        <v>163</v>
      </c>
      <c r="C22" s="46"/>
      <c r="D22" s="36"/>
      <c r="E22" s="27"/>
      <c r="F22" s="28">
        <f>SUM(F23:F26)</f>
        <v>14988380</v>
      </c>
      <c r="G22" s="28">
        <f>SUM(G23:G26)</f>
        <v>880000</v>
      </c>
      <c r="H22" s="28">
        <f>+F22+G22</f>
        <v>15868380</v>
      </c>
      <c r="I22" s="36"/>
      <c r="J22" s="27"/>
      <c r="K22" s="28">
        <f>SUM(K23:K26)</f>
        <v>15311076</v>
      </c>
      <c r="L22" s="28">
        <f>SUM(L23:L26)</f>
        <v>880000</v>
      </c>
      <c r="M22" s="28">
        <f>+K22+L22</f>
        <v>16191076</v>
      </c>
      <c r="N22" t="s">
        <v>303</v>
      </c>
    </row>
    <row r="23" spans="1:14" ht="27" thickBot="1" x14ac:dyDescent="0.25">
      <c r="A23" s="29">
        <v>161</v>
      </c>
      <c r="B23" s="30" t="s">
        <v>164</v>
      </c>
      <c r="C23" s="31" t="s">
        <v>147</v>
      </c>
      <c r="D23" s="37">
        <v>3000</v>
      </c>
      <c r="E23" s="33">
        <v>4246</v>
      </c>
      <c r="F23" s="44">
        <f>+D23*E23</f>
        <v>12738000</v>
      </c>
      <c r="G23" s="34"/>
      <c r="H23" s="34">
        <f t="shared" ref="H23:H25" si="9">+F23+G23</f>
        <v>12738000</v>
      </c>
      <c r="I23" s="355">
        <v>2900</v>
      </c>
      <c r="J23" s="353">
        <v>4246</v>
      </c>
      <c r="K23" s="357">
        <f>+I23*J23</f>
        <v>12313400</v>
      </c>
      <c r="L23" s="354"/>
      <c r="M23" s="354">
        <f t="shared" ref="M23:M25" si="10">+K23+L23</f>
        <v>12313400</v>
      </c>
      <c r="N23" s="366" t="s">
        <v>303</v>
      </c>
    </row>
    <row r="24" spans="1:14" ht="19" thickBot="1" x14ac:dyDescent="0.25">
      <c r="A24" s="29">
        <v>162</v>
      </c>
      <c r="B24" s="30" t="s">
        <v>165</v>
      </c>
      <c r="C24" s="43" t="s">
        <v>147</v>
      </c>
      <c r="D24" s="37">
        <v>30</v>
      </c>
      <c r="E24" s="33">
        <v>4246</v>
      </c>
      <c r="F24" s="44">
        <f>+D24*E24</f>
        <v>127380</v>
      </c>
      <c r="G24" s="34">
        <f>120000*4+80000*5</f>
        <v>880000</v>
      </c>
      <c r="H24" s="34">
        <f t="shared" si="9"/>
        <v>1007380</v>
      </c>
      <c r="I24" s="355">
        <v>36</v>
      </c>
      <c r="J24" s="353">
        <v>4246</v>
      </c>
      <c r="K24" s="357">
        <f>+I24*J24</f>
        <v>152856</v>
      </c>
      <c r="L24" s="354">
        <f>120000*4+80000*5</f>
        <v>880000</v>
      </c>
      <c r="M24" s="354">
        <f t="shared" si="10"/>
        <v>1032856</v>
      </c>
      <c r="N24" s="366" t="s">
        <v>303</v>
      </c>
    </row>
    <row r="25" spans="1:14" ht="27" thickBot="1" x14ac:dyDescent="0.25">
      <c r="A25" s="29">
        <v>163</v>
      </c>
      <c r="B25" s="30" t="s">
        <v>166</v>
      </c>
      <c r="C25" s="43" t="s">
        <v>147</v>
      </c>
      <c r="D25" s="334">
        <v>500</v>
      </c>
      <c r="E25" s="33">
        <v>4246</v>
      </c>
      <c r="F25" s="44">
        <f>+D25*E25</f>
        <v>2123000</v>
      </c>
      <c r="G25" s="34">
        <v>0</v>
      </c>
      <c r="H25" s="34">
        <f t="shared" si="9"/>
        <v>2123000</v>
      </c>
      <c r="I25" s="358">
        <v>670</v>
      </c>
      <c r="J25" s="353">
        <v>4246</v>
      </c>
      <c r="K25" s="357">
        <f>+I25*J25</f>
        <v>2844820</v>
      </c>
      <c r="L25" s="354">
        <v>0</v>
      </c>
      <c r="M25" s="354">
        <f t="shared" si="10"/>
        <v>2844820</v>
      </c>
      <c r="N25" s="366" t="s">
        <v>303</v>
      </c>
    </row>
    <row r="26" spans="1:14" ht="16" thickBot="1" x14ac:dyDescent="0.25">
      <c r="A26" s="29">
        <v>164</v>
      </c>
      <c r="B26" s="30" t="s">
        <v>167</v>
      </c>
      <c r="C26" s="43" t="s">
        <v>147</v>
      </c>
      <c r="D26" s="37">
        <v>0</v>
      </c>
      <c r="E26" s="44">
        <f>16525*1.2</f>
        <v>19830</v>
      </c>
      <c r="F26" s="44">
        <f>+D26*E26</f>
        <v>0</v>
      </c>
      <c r="G26" s="34">
        <v>0</v>
      </c>
      <c r="H26" s="34">
        <f>+F26+G26</f>
        <v>0</v>
      </c>
      <c r="I26" s="355">
        <v>0</v>
      </c>
      <c r="J26" s="357">
        <f>16525*1.2</f>
        <v>19830</v>
      </c>
      <c r="K26" s="357">
        <f>+I26*J26</f>
        <v>0</v>
      </c>
      <c r="L26" s="354">
        <v>0</v>
      </c>
      <c r="M26" s="354">
        <f>+K26+L26</f>
        <v>0</v>
      </c>
      <c r="N26" t="s">
        <v>303</v>
      </c>
    </row>
    <row r="27" spans="1:14" ht="16" thickBot="1" x14ac:dyDescent="0.25">
      <c r="A27" s="24">
        <v>17</v>
      </c>
      <c r="B27" s="25" t="s">
        <v>168</v>
      </c>
      <c r="C27" s="26" t="s">
        <v>147</v>
      </c>
      <c r="D27" s="36">
        <v>250</v>
      </c>
      <c r="E27" s="28">
        <v>4246</v>
      </c>
      <c r="F27" s="28">
        <f>+D27*E27</f>
        <v>1061500</v>
      </c>
      <c r="G27" s="27"/>
      <c r="H27" s="28">
        <f>+F27+G27</f>
        <v>1061500</v>
      </c>
      <c r="I27" s="36">
        <v>280</v>
      </c>
      <c r="J27" s="28">
        <v>4246</v>
      </c>
      <c r="K27" s="28">
        <f>+I27*J27</f>
        <v>1188880</v>
      </c>
      <c r="L27" s="27"/>
      <c r="M27" s="28">
        <f>+K27+L27</f>
        <v>1188880</v>
      </c>
      <c r="N27" t="s">
        <v>303</v>
      </c>
    </row>
    <row r="28" spans="1:14" ht="16" thickBot="1" x14ac:dyDescent="0.25">
      <c r="A28" s="24">
        <v>18</v>
      </c>
      <c r="B28" s="47" t="s">
        <v>169</v>
      </c>
      <c r="C28" s="26"/>
      <c r="D28" s="36"/>
      <c r="E28" s="28"/>
      <c r="F28" s="28">
        <f>SUM(F29:F31)</f>
        <v>1231340</v>
      </c>
      <c r="G28" s="28">
        <f>SUM(G29:G31)</f>
        <v>500000</v>
      </c>
      <c r="H28" s="28">
        <f t="shared" ref="H28:H31" si="11">+F28+G28</f>
        <v>1731340</v>
      </c>
      <c r="I28" s="36"/>
      <c r="J28" s="28"/>
      <c r="K28" s="28">
        <f>SUM(K29:K31)</f>
        <v>1231340</v>
      </c>
      <c r="L28" s="28">
        <f>SUM(L29:L31)</f>
        <v>500000</v>
      </c>
      <c r="M28" s="28">
        <f t="shared" ref="M28:M31" si="12">+K28+L28</f>
        <v>1731340</v>
      </c>
      <c r="N28" t="s">
        <v>303</v>
      </c>
    </row>
    <row r="29" spans="1:14" ht="19" thickBot="1" x14ac:dyDescent="0.25">
      <c r="A29" s="29">
        <v>181</v>
      </c>
      <c r="B29" s="30" t="s">
        <v>63</v>
      </c>
      <c r="C29" s="31" t="s">
        <v>134</v>
      </c>
      <c r="D29" s="48">
        <v>40</v>
      </c>
      <c r="E29" s="34">
        <v>4246</v>
      </c>
      <c r="F29" s="44">
        <f>+D29*E29</f>
        <v>169840</v>
      </c>
      <c r="G29" s="34">
        <v>500000</v>
      </c>
      <c r="H29" s="34">
        <f t="shared" si="11"/>
        <v>669840</v>
      </c>
      <c r="I29" s="359">
        <v>40</v>
      </c>
      <c r="J29" s="354">
        <v>4246</v>
      </c>
      <c r="K29" s="357">
        <f>+I29*J29</f>
        <v>169840</v>
      </c>
      <c r="L29" s="354">
        <v>500000</v>
      </c>
      <c r="M29" s="354">
        <f t="shared" si="12"/>
        <v>669840</v>
      </c>
      <c r="N29" s="366" t="s">
        <v>303</v>
      </c>
    </row>
    <row r="30" spans="1:14" ht="16" thickBot="1" x14ac:dyDescent="0.25">
      <c r="A30" s="29">
        <v>182</v>
      </c>
      <c r="B30" s="30" t="s">
        <v>170</v>
      </c>
      <c r="C30" s="31" t="s">
        <v>147</v>
      </c>
      <c r="D30" s="48">
        <v>0</v>
      </c>
      <c r="E30" s="33">
        <v>4246</v>
      </c>
      <c r="F30" s="44">
        <f>+D30*E30</f>
        <v>0</v>
      </c>
      <c r="G30" s="34">
        <v>0</v>
      </c>
      <c r="H30" s="34">
        <f t="shared" si="11"/>
        <v>0</v>
      </c>
      <c r="I30" s="359">
        <v>0</v>
      </c>
      <c r="J30" s="353">
        <v>4246</v>
      </c>
      <c r="K30" s="357">
        <f>+I30*J30</f>
        <v>0</v>
      </c>
      <c r="L30" s="354">
        <v>0</v>
      </c>
      <c r="M30" s="354">
        <f t="shared" si="12"/>
        <v>0</v>
      </c>
      <c r="N30" t="s">
        <v>303</v>
      </c>
    </row>
    <row r="31" spans="1:14" ht="19" thickBot="1" x14ac:dyDescent="0.25">
      <c r="A31" s="29">
        <v>183</v>
      </c>
      <c r="B31" s="30" t="s">
        <v>171</v>
      </c>
      <c r="C31" s="31" t="s">
        <v>147</v>
      </c>
      <c r="D31" s="48">
        <v>250</v>
      </c>
      <c r="E31" s="33">
        <v>4246</v>
      </c>
      <c r="F31" s="44">
        <f>+D31*E31</f>
        <v>1061500</v>
      </c>
      <c r="G31" s="34">
        <v>0</v>
      </c>
      <c r="H31" s="34">
        <f t="shared" si="11"/>
        <v>1061500</v>
      </c>
      <c r="I31" s="359">
        <v>250</v>
      </c>
      <c r="J31" s="353">
        <v>4246</v>
      </c>
      <c r="K31" s="357">
        <f>+I31*J31</f>
        <v>1061500</v>
      </c>
      <c r="L31" s="354">
        <v>0</v>
      </c>
      <c r="M31" s="354">
        <f t="shared" si="12"/>
        <v>1061500</v>
      </c>
      <c r="N31" s="366" t="s">
        <v>303</v>
      </c>
    </row>
    <row r="32" spans="1:14" ht="16" thickBot="1" x14ac:dyDescent="0.25">
      <c r="A32" s="49" t="s">
        <v>172</v>
      </c>
      <c r="B32" s="50" t="s">
        <v>173</v>
      </c>
      <c r="C32" s="51"/>
      <c r="D32" s="52"/>
      <c r="E32" s="53"/>
      <c r="F32" s="54">
        <f>+F2+F6+F7+F18+F22+F27+F28</f>
        <v>48091150</v>
      </c>
      <c r="G32" s="54">
        <f>+G2+G6+G7+G18+G22+G27+G28</f>
        <v>2698000</v>
      </c>
      <c r="H32" s="54">
        <f>+H2+H6+H7+H18+H22+H27+H28</f>
        <v>50789150</v>
      </c>
      <c r="I32" s="52"/>
      <c r="J32" s="53"/>
      <c r="K32" s="54">
        <f>+K2+K6+K7+K18+K22+K27+K28</f>
        <v>47076356</v>
      </c>
      <c r="L32" s="54">
        <f>+L2+L6+L7+L18+L22+L27+L28</f>
        <v>2182000</v>
      </c>
      <c r="M32" s="54">
        <f>+M2+M6+M7+M18+M22+M27+M28</f>
        <v>49258356</v>
      </c>
      <c r="N32" t="s">
        <v>303</v>
      </c>
    </row>
    <row r="33" spans="1:15" ht="40" thickBot="1" x14ac:dyDescent="0.25">
      <c r="A33" s="327" t="s">
        <v>137</v>
      </c>
      <c r="B33" s="328" t="s">
        <v>138</v>
      </c>
      <c r="C33" s="328" t="s">
        <v>139</v>
      </c>
      <c r="D33" s="329" t="s">
        <v>349</v>
      </c>
      <c r="E33" s="330" t="s">
        <v>140</v>
      </c>
      <c r="F33" s="330" t="s">
        <v>350</v>
      </c>
      <c r="G33" s="330" t="s">
        <v>351</v>
      </c>
      <c r="H33" s="331" t="s">
        <v>352</v>
      </c>
      <c r="I33" s="349" t="s">
        <v>353</v>
      </c>
      <c r="J33" s="350" t="s">
        <v>140</v>
      </c>
      <c r="K33" s="350" t="s">
        <v>332</v>
      </c>
      <c r="L33" s="350" t="s">
        <v>333</v>
      </c>
      <c r="M33" s="351" t="s">
        <v>334</v>
      </c>
    </row>
    <row r="34" spans="1:15" ht="19" thickBot="1" x14ac:dyDescent="0.25">
      <c r="A34" s="24">
        <v>21</v>
      </c>
      <c r="B34" s="25" t="s">
        <v>174</v>
      </c>
      <c r="C34" s="26" t="s">
        <v>133</v>
      </c>
      <c r="D34" s="55">
        <v>15</v>
      </c>
      <c r="E34" s="28">
        <f>33000*1.2</f>
        <v>39600</v>
      </c>
      <c r="F34" s="28">
        <f>2*4246*10</f>
        <v>84920</v>
      </c>
      <c r="G34" s="27">
        <f>D34*E34</f>
        <v>594000</v>
      </c>
      <c r="H34" s="254">
        <f t="shared" ref="H34:H35" si="13">+F34+G34</f>
        <v>678920</v>
      </c>
      <c r="I34" s="55">
        <v>10</v>
      </c>
      <c r="J34" s="28">
        <f>33000*1.2</f>
        <v>39600</v>
      </c>
      <c r="K34" s="28">
        <f>2*4246*10</f>
        <v>84920</v>
      </c>
      <c r="L34" s="27">
        <f>I34*J34</f>
        <v>396000</v>
      </c>
      <c r="M34" s="254">
        <f t="shared" ref="M34:M35" si="14">+K34+L34</f>
        <v>480920</v>
      </c>
      <c r="N34" s="366" t="s">
        <v>303</v>
      </c>
    </row>
    <row r="35" spans="1:15" ht="19" thickBot="1" x14ac:dyDescent="0.25">
      <c r="A35" s="24">
        <v>22</v>
      </c>
      <c r="B35" s="25" t="s">
        <v>175</v>
      </c>
      <c r="C35" s="26" t="s">
        <v>133</v>
      </c>
      <c r="D35" s="55">
        <v>10</v>
      </c>
      <c r="E35" s="28">
        <f>12850*1.2</f>
        <v>15420</v>
      </c>
      <c r="F35" s="28">
        <f>2*4246*10</f>
        <v>84920</v>
      </c>
      <c r="G35" s="27">
        <f>D35*E35</f>
        <v>154200</v>
      </c>
      <c r="H35" s="254">
        <f t="shared" si="13"/>
        <v>239120</v>
      </c>
      <c r="I35" s="55">
        <v>12</v>
      </c>
      <c r="J35" s="28">
        <f>12850*1.2</f>
        <v>15420</v>
      </c>
      <c r="K35" s="28">
        <f>2*4246*10</f>
        <v>84920</v>
      </c>
      <c r="L35" s="27">
        <f>I35*J35</f>
        <v>185040</v>
      </c>
      <c r="M35" s="254">
        <f t="shared" si="14"/>
        <v>269960</v>
      </c>
      <c r="N35" s="366" t="s">
        <v>303</v>
      </c>
    </row>
    <row r="36" spans="1:15" ht="19" thickBot="1" x14ac:dyDescent="0.25">
      <c r="A36" s="24">
        <v>221</v>
      </c>
      <c r="B36" s="25" t="s">
        <v>176</v>
      </c>
      <c r="C36" s="26" t="s">
        <v>133</v>
      </c>
      <c r="D36" s="55">
        <v>20</v>
      </c>
      <c r="E36" s="28">
        <v>4246</v>
      </c>
      <c r="F36" s="28">
        <f>+D36*E36</f>
        <v>84920</v>
      </c>
      <c r="G36" s="27"/>
      <c r="H36" s="254">
        <f>+F36+G36</f>
        <v>84920</v>
      </c>
      <c r="I36" s="55">
        <v>20</v>
      </c>
      <c r="J36" s="28">
        <v>4246</v>
      </c>
      <c r="K36" s="28">
        <f>+I36*J36</f>
        <v>84920</v>
      </c>
      <c r="L36" s="27"/>
      <c r="M36" s="254">
        <f>+K36+L36</f>
        <v>84920</v>
      </c>
      <c r="N36" s="366" t="s">
        <v>303</v>
      </c>
    </row>
    <row r="37" spans="1:15" ht="19" thickBot="1" x14ac:dyDescent="0.25">
      <c r="A37" s="24">
        <v>23</v>
      </c>
      <c r="B37" s="25" t="s">
        <v>177</v>
      </c>
      <c r="C37" s="26" t="s">
        <v>143</v>
      </c>
      <c r="D37" s="55">
        <v>350</v>
      </c>
      <c r="E37" s="28">
        <f>(4246+19830)/2</f>
        <v>12038</v>
      </c>
      <c r="F37" s="28">
        <f>+D37*E37</f>
        <v>4213300</v>
      </c>
      <c r="G37" s="28">
        <f>D37/3*35000*1.1+1300000</f>
        <v>5791666.666666667</v>
      </c>
      <c r="H37" s="254">
        <f t="shared" ref="H37" si="15">+F37+G37</f>
        <v>10004966.666666668</v>
      </c>
      <c r="I37" s="55">
        <v>340</v>
      </c>
      <c r="J37" s="28">
        <f>(4246+19830)/2</f>
        <v>12038</v>
      </c>
      <c r="K37" s="28">
        <f>+I37*J37</f>
        <v>4092920</v>
      </c>
      <c r="L37" s="28">
        <f>I37/3*33000*1.1+800000</f>
        <v>4914000</v>
      </c>
      <c r="M37" s="254">
        <f t="shared" ref="M37" si="16">+K37+L37</f>
        <v>9006920</v>
      </c>
      <c r="N37" s="366" t="s">
        <v>303</v>
      </c>
      <c r="O37" s="104"/>
    </row>
    <row r="38" spans="1:15" ht="19" thickBot="1" x14ac:dyDescent="0.25">
      <c r="A38" s="24">
        <v>24</v>
      </c>
      <c r="B38" s="25" t="s">
        <v>178</v>
      </c>
      <c r="C38" s="26"/>
      <c r="D38" s="55"/>
      <c r="E38" s="27"/>
      <c r="F38" s="28">
        <f>+F39+F40+F41</f>
        <v>13596400</v>
      </c>
      <c r="G38" s="28">
        <f>+G39+G40+G41</f>
        <v>2500000</v>
      </c>
      <c r="H38" s="254">
        <f>+F38+G38</f>
        <v>16096400</v>
      </c>
      <c r="I38" s="55"/>
      <c r="J38" s="27"/>
      <c r="K38" s="28">
        <f>+K39+K40+K41</f>
        <v>12859200</v>
      </c>
      <c r="L38" s="28">
        <f>+L39+L40+L41</f>
        <v>1000000</v>
      </c>
      <c r="M38" s="254">
        <f>+K38+L38</f>
        <v>13859200</v>
      </c>
      <c r="N38" s="366" t="s">
        <v>303</v>
      </c>
    </row>
    <row r="39" spans="1:15" ht="19" thickBot="1" x14ac:dyDescent="0.25">
      <c r="A39" s="29">
        <v>241</v>
      </c>
      <c r="B39" s="30" t="s">
        <v>179</v>
      </c>
      <c r="C39" s="31" t="s">
        <v>147</v>
      </c>
      <c r="D39" s="57">
        <v>200</v>
      </c>
      <c r="E39" s="34">
        <f>16525*1.2</f>
        <v>19830</v>
      </c>
      <c r="F39" s="34">
        <f>+D39*E39</f>
        <v>3966000</v>
      </c>
      <c r="G39" s="33"/>
      <c r="H39" s="255">
        <f t="shared" ref="H39:H41" si="17">+F39+G39</f>
        <v>3966000</v>
      </c>
      <c r="I39" s="360">
        <v>170</v>
      </c>
      <c r="J39" s="354">
        <f>16525*1.2</f>
        <v>19830</v>
      </c>
      <c r="K39" s="354">
        <f>+I39*J39</f>
        <v>3371100</v>
      </c>
      <c r="L39" s="353"/>
      <c r="M39" s="361">
        <f t="shared" ref="M39:M41" si="18">+K39+L39</f>
        <v>3371100</v>
      </c>
      <c r="N39" s="366" t="s">
        <v>303</v>
      </c>
    </row>
    <row r="40" spans="1:15" ht="19" thickBot="1" x14ac:dyDescent="0.25">
      <c r="A40" s="29">
        <v>242</v>
      </c>
      <c r="B40" s="30" t="s">
        <v>180</v>
      </c>
      <c r="C40" s="31" t="s">
        <v>147</v>
      </c>
      <c r="D40" s="57">
        <v>800</v>
      </c>
      <c r="E40" s="34">
        <f>(4246+19830)/2</f>
        <v>12038</v>
      </c>
      <c r="F40" s="34">
        <f>D40*E40</f>
        <v>9630400</v>
      </c>
      <c r="G40" s="34">
        <v>2500000</v>
      </c>
      <c r="H40" s="255">
        <f t="shared" si="17"/>
        <v>12130400</v>
      </c>
      <c r="I40" s="360">
        <v>700</v>
      </c>
      <c r="J40" s="354">
        <f>(4246+19830)/2</f>
        <v>12038</v>
      </c>
      <c r="K40" s="354">
        <f>I40*J40</f>
        <v>8426600</v>
      </c>
      <c r="L40" s="354">
        <v>1000000</v>
      </c>
      <c r="M40" s="361">
        <f t="shared" si="18"/>
        <v>9426600</v>
      </c>
      <c r="N40" s="366" t="s">
        <v>303</v>
      </c>
    </row>
    <row r="41" spans="1:15" ht="19" thickBot="1" x14ac:dyDescent="0.25">
      <c r="A41" s="29"/>
      <c r="B41" s="30" t="s">
        <v>181</v>
      </c>
      <c r="C41" s="31" t="s">
        <v>147</v>
      </c>
      <c r="D41" s="57">
        <v>0</v>
      </c>
      <c r="E41" s="34">
        <v>4246</v>
      </c>
      <c r="F41" s="34">
        <f>+D41*E41</f>
        <v>0</v>
      </c>
      <c r="G41" s="34"/>
      <c r="H41" s="255">
        <f t="shared" si="17"/>
        <v>0</v>
      </c>
      <c r="I41" s="360">
        <v>250</v>
      </c>
      <c r="J41" s="354">
        <v>4246</v>
      </c>
      <c r="K41" s="354">
        <f>+I41*J41</f>
        <v>1061500</v>
      </c>
      <c r="L41" s="354"/>
      <c r="M41" s="361">
        <f t="shared" si="18"/>
        <v>1061500</v>
      </c>
      <c r="N41" s="366" t="s">
        <v>303</v>
      </c>
    </row>
    <row r="42" spans="1:15" s="21" customFormat="1" ht="19" thickBot="1" x14ac:dyDescent="0.25">
      <c r="A42" s="24">
        <v>26</v>
      </c>
      <c r="B42" s="25" t="s">
        <v>182</v>
      </c>
      <c r="C42" s="26" t="s">
        <v>147</v>
      </c>
      <c r="D42" s="55">
        <v>50</v>
      </c>
      <c r="E42" s="28">
        <v>4246</v>
      </c>
      <c r="F42" s="28">
        <f>+D42*E42</f>
        <v>212300</v>
      </c>
      <c r="G42" s="28"/>
      <c r="H42" s="256">
        <f>+F42+G42</f>
        <v>212300</v>
      </c>
      <c r="I42" s="55">
        <v>72</v>
      </c>
      <c r="J42" s="28">
        <v>4246</v>
      </c>
      <c r="K42" s="28">
        <f>+I42*J42</f>
        <v>305712</v>
      </c>
      <c r="L42" s="28"/>
      <c r="M42" s="256">
        <f>+K42+L42</f>
        <v>305712</v>
      </c>
      <c r="N42" s="366" t="s">
        <v>303</v>
      </c>
      <c r="O42" s="45"/>
    </row>
    <row r="43" spans="1:15" s="21" customFormat="1" ht="19" thickBot="1" x14ac:dyDescent="0.25">
      <c r="A43" s="24">
        <v>27</v>
      </c>
      <c r="B43" s="25" t="s">
        <v>183</v>
      </c>
      <c r="C43" s="26" t="s">
        <v>147</v>
      </c>
      <c r="D43" s="335">
        <v>100</v>
      </c>
      <c r="E43" s="28">
        <v>4246</v>
      </c>
      <c r="F43" s="28">
        <f>+D43*E43</f>
        <v>424600</v>
      </c>
      <c r="G43" s="28">
        <v>100000</v>
      </c>
      <c r="H43" s="256">
        <f>+F43+G43</f>
        <v>524600</v>
      </c>
      <c r="I43" s="335">
        <v>120</v>
      </c>
      <c r="J43" s="28">
        <v>4246</v>
      </c>
      <c r="K43" s="28">
        <f>+I43*J43</f>
        <v>509520</v>
      </c>
      <c r="L43" s="28">
        <v>100000</v>
      </c>
      <c r="M43" s="256">
        <f>+K43+L43</f>
        <v>609520</v>
      </c>
      <c r="N43" s="366" t="s">
        <v>303</v>
      </c>
      <c r="O43" s="45"/>
    </row>
    <row r="44" spans="1:15" ht="16" thickBot="1" x14ac:dyDescent="0.25">
      <c r="A44" s="49" t="s">
        <v>184</v>
      </c>
      <c r="B44" s="50" t="s">
        <v>185</v>
      </c>
      <c r="C44" s="51"/>
      <c r="D44" s="52"/>
      <c r="E44" s="53"/>
      <c r="F44" s="54">
        <f>F34+F35+F36+F37+F38+F42+F43</f>
        <v>18701360</v>
      </c>
      <c r="G44" s="54">
        <f>G34+G35+G37+G38+G42+G43</f>
        <v>9139866.6666666679</v>
      </c>
      <c r="H44" s="257">
        <f>H34+H35+H36+H37+H38+H42+H43</f>
        <v>27841226.666666668</v>
      </c>
      <c r="I44" s="52"/>
      <c r="J44" s="53"/>
      <c r="K44" s="54">
        <f>K34+K35+K36+K37+K38+K42+K43</f>
        <v>18022112</v>
      </c>
      <c r="L44" s="54">
        <f>L34+L35+L37+L38+L42+L43</f>
        <v>6595040</v>
      </c>
      <c r="M44" s="257">
        <f>M34+M35+M36+M37+M38+M42+M43</f>
        <v>24617152</v>
      </c>
    </row>
    <row r="45" spans="1:15" s="21" customFormat="1" ht="19" thickBot="1" x14ac:dyDescent="0.25">
      <c r="A45" s="58">
        <v>31</v>
      </c>
      <c r="B45" s="59" t="s">
        <v>186</v>
      </c>
      <c r="C45" s="60" t="s">
        <v>147</v>
      </c>
      <c r="D45" s="61">
        <v>250</v>
      </c>
      <c r="E45" s="33">
        <v>4246</v>
      </c>
      <c r="F45" s="62">
        <f>+D45*E45</f>
        <v>1061500</v>
      </c>
      <c r="G45" s="63"/>
      <c r="H45" s="258">
        <f t="shared" ref="H45:H46" si="19">+F45+G45</f>
        <v>1061500</v>
      </c>
      <c r="I45" s="362">
        <v>280</v>
      </c>
      <c r="J45" s="353">
        <v>4246</v>
      </c>
      <c r="K45" s="363">
        <f>+I45*J45</f>
        <v>1188880</v>
      </c>
      <c r="L45" s="364"/>
      <c r="M45" s="365">
        <f t="shared" ref="M45:M47" si="20">+K45+L45</f>
        <v>1188880</v>
      </c>
      <c r="N45" s="366" t="s">
        <v>303</v>
      </c>
      <c r="O45" s="45"/>
    </row>
    <row r="46" spans="1:15" s="21" customFormat="1" ht="19" thickBot="1" x14ac:dyDescent="0.25">
      <c r="A46" s="58">
        <v>32</v>
      </c>
      <c r="B46" s="59" t="s">
        <v>187</v>
      </c>
      <c r="C46" s="60" t="s">
        <v>147</v>
      </c>
      <c r="D46" s="61">
        <v>45</v>
      </c>
      <c r="E46" s="33">
        <v>19830</v>
      </c>
      <c r="F46" s="62">
        <f>+D46*E46</f>
        <v>892350</v>
      </c>
      <c r="G46" s="63"/>
      <c r="H46" s="258">
        <f t="shared" si="19"/>
        <v>892350</v>
      </c>
      <c r="I46" s="362">
        <v>50</v>
      </c>
      <c r="J46" s="353">
        <v>19830</v>
      </c>
      <c r="K46" s="363">
        <f>+I46*J46</f>
        <v>991500</v>
      </c>
      <c r="L46" s="364"/>
      <c r="M46" s="365">
        <f t="shared" si="20"/>
        <v>991500</v>
      </c>
      <c r="N46" s="366" t="s">
        <v>303</v>
      </c>
      <c r="O46" s="45"/>
    </row>
    <row r="47" spans="1:15" s="21" customFormat="1" ht="19" thickBot="1" x14ac:dyDescent="0.25">
      <c r="A47" s="58">
        <v>33</v>
      </c>
      <c r="B47" s="59" t="s">
        <v>188</v>
      </c>
      <c r="C47" s="60" t="s">
        <v>189</v>
      </c>
      <c r="D47" s="61">
        <v>25</v>
      </c>
      <c r="E47" s="62">
        <v>14750</v>
      </c>
      <c r="F47" s="62">
        <f>+D47*E47</f>
        <v>368750</v>
      </c>
      <c r="G47" s="33">
        <v>200000</v>
      </c>
      <c r="H47" s="258">
        <f>+F47+G47</f>
        <v>568750</v>
      </c>
      <c r="I47" s="362">
        <v>10</v>
      </c>
      <c r="J47" s="363">
        <v>14750</v>
      </c>
      <c r="K47" s="363">
        <f>+I47*J47</f>
        <v>147500</v>
      </c>
      <c r="L47" s="353">
        <v>100000</v>
      </c>
      <c r="M47" s="365">
        <f t="shared" si="20"/>
        <v>247500</v>
      </c>
      <c r="N47" s="366" t="s">
        <v>303</v>
      </c>
      <c r="O47" s="45"/>
    </row>
    <row r="48" spans="1:15" s="21" customFormat="1" ht="19" thickBot="1" x14ac:dyDescent="0.25">
      <c r="A48" s="58">
        <v>34</v>
      </c>
      <c r="B48" s="59" t="s">
        <v>190</v>
      </c>
      <c r="C48" s="60" t="s">
        <v>147</v>
      </c>
      <c r="D48" s="61">
        <v>220</v>
      </c>
      <c r="E48" s="33">
        <v>4246</v>
      </c>
      <c r="F48" s="62">
        <f>+D48*E48</f>
        <v>934120</v>
      </c>
      <c r="G48" s="63"/>
      <c r="H48" s="258">
        <f>+F48+G48</f>
        <v>934120</v>
      </c>
      <c r="I48" s="362">
        <v>250</v>
      </c>
      <c r="J48" s="353">
        <v>4246</v>
      </c>
      <c r="K48" s="363">
        <f>+I48*J48</f>
        <v>1061500</v>
      </c>
      <c r="L48" s="364"/>
      <c r="M48" s="365">
        <f>+K48+L48</f>
        <v>1061500</v>
      </c>
      <c r="N48" s="366" t="s">
        <v>303</v>
      </c>
      <c r="O48" s="45"/>
    </row>
    <row r="49" spans="1:18" ht="16" thickBot="1" x14ac:dyDescent="0.25">
      <c r="A49" s="64" t="s">
        <v>191</v>
      </c>
      <c r="B49" s="50" t="s">
        <v>192</v>
      </c>
      <c r="C49" s="65"/>
      <c r="D49" s="66"/>
      <c r="E49" s="67"/>
      <c r="F49" s="54">
        <f>F46+F45+F47+F48</f>
        <v>3256720</v>
      </c>
      <c r="G49" s="54">
        <f>G46+G45+G47+G48</f>
        <v>200000</v>
      </c>
      <c r="H49" s="257">
        <f>H46+H45+H47+H48</f>
        <v>3456720</v>
      </c>
      <c r="I49" s="66"/>
      <c r="J49" s="67"/>
      <c r="K49" s="54">
        <f>K46+K45+K47+K48</f>
        <v>3389380</v>
      </c>
      <c r="L49" s="54">
        <f>L46+L45+L47+L48</f>
        <v>100000</v>
      </c>
      <c r="M49" s="257">
        <f>M46+M45+M47+M48</f>
        <v>3489380</v>
      </c>
      <c r="N49" t="s">
        <v>303</v>
      </c>
    </row>
    <row r="50" spans="1:18" ht="19" thickBot="1" x14ac:dyDescent="0.25">
      <c r="A50" s="58">
        <v>42</v>
      </c>
      <c r="B50" s="59" t="s">
        <v>193</v>
      </c>
      <c r="C50" s="60" t="s">
        <v>147</v>
      </c>
      <c r="D50" s="61">
        <v>120</v>
      </c>
      <c r="E50" s="33">
        <v>4246</v>
      </c>
      <c r="F50" s="34">
        <f>+D50*E50</f>
        <v>509520</v>
      </c>
      <c r="G50" s="34">
        <v>0</v>
      </c>
      <c r="H50" s="255">
        <f>+F50+G50</f>
        <v>509520</v>
      </c>
      <c r="I50" s="362">
        <v>60</v>
      </c>
      <c r="J50" s="353">
        <v>4246</v>
      </c>
      <c r="K50" s="354">
        <f>+I50*J50</f>
        <v>254760</v>
      </c>
      <c r="L50" s="354">
        <v>0</v>
      </c>
      <c r="M50" s="361">
        <f t="shared" ref="M50:M54" si="21">+K50+L50</f>
        <v>254760</v>
      </c>
      <c r="N50" s="366" t="s">
        <v>303</v>
      </c>
    </row>
    <row r="51" spans="1:18" ht="19" thickBot="1" x14ac:dyDescent="0.25">
      <c r="A51" s="58">
        <v>44</v>
      </c>
      <c r="B51" s="59" t="s">
        <v>194</v>
      </c>
      <c r="C51" s="60" t="s">
        <v>147</v>
      </c>
      <c r="D51" s="61"/>
      <c r="E51" s="33">
        <v>4246</v>
      </c>
      <c r="F51" s="34">
        <f>+D51*E51</f>
        <v>0</v>
      </c>
      <c r="G51" s="62">
        <v>0</v>
      </c>
      <c r="H51" s="255">
        <f>+F51+G51</f>
        <v>0</v>
      </c>
      <c r="I51" s="362"/>
      <c r="J51" s="353">
        <v>4246</v>
      </c>
      <c r="K51" s="354">
        <f>+I51*J51</f>
        <v>0</v>
      </c>
      <c r="L51" s="363">
        <v>0</v>
      </c>
      <c r="M51" s="361">
        <f t="shared" si="21"/>
        <v>0</v>
      </c>
      <c r="N51" s="366"/>
    </row>
    <row r="52" spans="1:18" ht="19" thickBot="1" x14ac:dyDescent="0.25">
      <c r="A52" s="58">
        <v>45</v>
      </c>
      <c r="B52" s="59" t="s">
        <v>195</v>
      </c>
      <c r="C52" s="60"/>
      <c r="D52" s="61"/>
      <c r="E52" s="63">
        <v>2000000</v>
      </c>
      <c r="F52" s="62">
        <v>0</v>
      </c>
      <c r="G52" s="63"/>
      <c r="H52" s="255">
        <f>+F52+G52</f>
        <v>0</v>
      </c>
      <c r="I52" s="362"/>
      <c r="J52" s="364">
        <v>5000000</v>
      </c>
      <c r="K52" s="363">
        <v>0</v>
      </c>
      <c r="L52" s="364"/>
      <c r="M52" s="361">
        <f t="shared" si="21"/>
        <v>0</v>
      </c>
      <c r="N52" s="366" t="s">
        <v>303</v>
      </c>
    </row>
    <row r="53" spans="1:18" ht="19" thickBot="1" x14ac:dyDescent="0.25">
      <c r="A53" s="58">
        <v>46</v>
      </c>
      <c r="B53" s="59" t="s">
        <v>196</v>
      </c>
      <c r="C53" s="60" t="s">
        <v>147</v>
      </c>
      <c r="D53" s="61">
        <v>1150</v>
      </c>
      <c r="E53" s="33">
        <v>4246</v>
      </c>
      <c r="F53" s="34">
        <f>+D53*E53</f>
        <v>4882900</v>
      </c>
      <c r="G53" s="34">
        <v>0</v>
      </c>
      <c r="H53" s="255">
        <f>+F53+G53</f>
        <v>4882900</v>
      </c>
      <c r="I53" s="362">
        <v>1150</v>
      </c>
      <c r="J53" s="353">
        <v>4246</v>
      </c>
      <c r="K53" s="354">
        <f>+I53*J53</f>
        <v>4882900</v>
      </c>
      <c r="L53" s="354">
        <v>0</v>
      </c>
      <c r="M53" s="361">
        <f t="shared" si="21"/>
        <v>4882900</v>
      </c>
      <c r="N53" s="366" t="s">
        <v>303</v>
      </c>
    </row>
    <row r="54" spans="1:18" ht="19" thickBot="1" x14ac:dyDescent="0.25">
      <c r="A54" s="58">
        <v>47</v>
      </c>
      <c r="B54" s="59" t="s">
        <v>197</v>
      </c>
      <c r="C54" s="60" t="s">
        <v>147</v>
      </c>
      <c r="D54" s="61">
        <v>110</v>
      </c>
      <c r="E54" s="63">
        <f>16525*1.2</f>
        <v>19830</v>
      </c>
      <c r="F54" s="34">
        <f>+D54*E54</f>
        <v>2181300</v>
      </c>
      <c r="G54" s="34"/>
      <c r="H54" s="255">
        <f>+F54+G54</f>
        <v>2181300</v>
      </c>
      <c r="I54" s="362">
        <v>150</v>
      </c>
      <c r="J54" s="364">
        <f>16525*1.2</f>
        <v>19830</v>
      </c>
      <c r="K54" s="354">
        <f>+I54*J54</f>
        <v>2974500</v>
      </c>
      <c r="L54" s="354"/>
      <c r="M54" s="361">
        <f t="shared" si="21"/>
        <v>2974500</v>
      </c>
      <c r="N54" s="366" t="s">
        <v>303</v>
      </c>
      <c r="O54" s="260"/>
      <c r="P54" s="260"/>
      <c r="Q54" s="260"/>
      <c r="R54" s="260"/>
    </row>
    <row r="55" spans="1:18" s="21" customFormat="1" ht="19" thickBot="1" x14ac:dyDescent="0.25">
      <c r="A55" s="64" t="s">
        <v>198</v>
      </c>
      <c r="B55" s="69" t="s">
        <v>199</v>
      </c>
      <c r="C55" s="70"/>
      <c r="D55" s="71"/>
      <c r="E55" s="72"/>
      <c r="F55" s="54">
        <f>F50+F51+F52+F53+F54</f>
        <v>7573720</v>
      </c>
      <c r="G55" s="54">
        <f>G50+G51+G52+G53+G54</f>
        <v>0</v>
      </c>
      <c r="H55" s="257">
        <f>H50+H51+H52+H53+H54</f>
        <v>7573720</v>
      </c>
      <c r="I55" s="71"/>
      <c r="J55" s="72"/>
      <c r="K55" s="54">
        <f>K50+K51+K52+K53+K54</f>
        <v>8112160</v>
      </c>
      <c r="L55" s="54">
        <f>L50+L51+L52+L53+L54</f>
        <v>0</v>
      </c>
      <c r="M55" s="257">
        <f>M50+M51+M52+M53+M54</f>
        <v>8112160</v>
      </c>
      <c r="N55" s="366" t="s">
        <v>303</v>
      </c>
      <c r="O55" s="45"/>
    </row>
    <row r="56" spans="1:18" s="21" customFormat="1" ht="19" thickBot="1" x14ac:dyDescent="0.25">
      <c r="A56" s="64" t="s">
        <v>200</v>
      </c>
      <c r="B56" s="69" t="s">
        <v>201</v>
      </c>
      <c r="C56" s="70" t="s">
        <v>147</v>
      </c>
      <c r="D56" s="71">
        <v>440</v>
      </c>
      <c r="E56" s="72">
        <v>3750</v>
      </c>
      <c r="F56" s="72">
        <f>+D56*E56</f>
        <v>1650000</v>
      </c>
      <c r="G56" s="72">
        <f>70000*1.2</f>
        <v>84000</v>
      </c>
      <c r="H56" s="259">
        <f>+F56+G56</f>
        <v>1734000</v>
      </c>
      <c r="I56" s="71">
        <v>440</v>
      </c>
      <c r="J56" s="72">
        <v>3750</v>
      </c>
      <c r="K56" s="72">
        <f>+I56*J56</f>
        <v>1650000</v>
      </c>
      <c r="L56" s="72">
        <f>70000*1.2</f>
        <v>84000</v>
      </c>
      <c r="M56" s="259">
        <f>+K56+L56</f>
        <v>1734000</v>
      </c>
      <c r="N56" s="366" t="s">
        <v>303</v>
      </c>
      <c r="O56" s="45"/>
    </row>
    <row r="57" spans="1:18" ht="19" thickBot="1" x14ac:dyDescent="0.25">
      <c r="A57" s="24"/>
      <c r="B57" s="25" t="s">
        <v>202</v>
      </c>
      <c r="C57" s="46"/>
      <c r="D57" s="73"/>
      <c r="E57" s="27"/>
      <c r="F57" s="28">
        <f>+F32+F44+F49+F56+F55</f>
        <v>79272950</v>
      </c>
      <c r="G57" s="28">
        <f>+G32+G44+G49+G56+G55</f>
        <v>12121866.666666668</v>
      </c>
      <c r="H57" s="256">
        <f>+H32+H44+H49+H56+H55</f>
        <v>91394816.666666672</v>
      </c>
      <c r="I57" s="73"/>
      <c r="J57" s="27"/>
      <c r="K57" s="28">
        <f>+K32+K44+K49+K56+K55</f>
        <v>78250008</v>
      </c>
      <c r="L57" s="28">
        <f>+L32+L44+L49+L56+L55</f>
        <v>8961040</v>
      </c>
      <c r="M57" s="256">
        <f>+M32+M44+M49+M56+M55</f>
        <v>87211048</v>
      </c>
      <c r="N57" s="366" t="s">
        <v>303</v>
      </c>
    </row>
    <row r="60" spans="1:18" x14ac:dyDescent="0.2">
      <c r="E60" s="75"/>
      <c r="J60" s="75"/>
    </row>
    <row r="61" spans="1:18" x14ac:dyDescent="0.2">
      <c r="H61" s="75"/>
      <c r="M61" s="75"/>
    </row>
  </sheetData>
  <pageMargins left="0.7" right="0.7" top="0.75" bottom="0.75" header="0.3" footer="0.3"/>
  <pageSetup paperSize="8" scale="72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6"/>
  <sheetViews>
    <sheetView zoomScale="110" zoomScaleNormal="110" workbookViewId="0">
      <selection activeCell="E5" sqref="E5"/>
    </sheetView>
  </sheetViews>
  <sheetFormatPr baseColWidth="10" defaultColWidth="9.1640625" defaultRowHeight="15" x14ac:dyDescent="0.2"/>
  <cols>
    <col min="1" max="1" width="6.83203125" bestFit="1" customWidth="1"/>
    <col min="2" max="2" width="41" bestFit="1" customWidth="1"/>
    <col min="3" max="3" width="5.5" customWidth="1"/>
    <col min="4" max="4" width="8.5" bestFit="1" customWidth="1"/>
    <col min="5" max="5" width="7.83203125" bestFit="1" customWidth="1"/>
    <col min="6" max="6" width="7.33203125" bestFit="1" customWidth="1"/>
    <col min="7" max="7" width="7.83203125" style="21" bestFit="1" customWidth="1"/>
    <col min="8" max="8" width="9.5" bestFit="1" customWidth="1"/>
    <col min="9" max="9" width="7.83203125" bestFit="1" customWidth="1"/>
    <col min="11" max="11" width="7.83203125" bestFit="1" customWidth="1"/>
  </cols>
  <sheetData>
    <row r="1" spans="1:14" ht="53" thickBot="1" x14ac:dyDescent="0.25">
      <c r="A1" s="78" t="s">
        <v>214</v>
      </c>
      <c r="B1" s="79" t="s">
        <v>138</v>
      </c>
      <c r="C1" s="79" t="s">
        <v>139</v>
      </c>
      <c r="D1" s="89" t="s">
        <v>354</v>
      </c>
      <c r="E1" s="89" t="s">
        <v>140</v>
      </c>
      <c r="F1" s="89" t="s">
        <v>355</v>
      </c>
      <c r="G1" s="90" t="s">
        <v>356</v>
      </c>
      <c r="H1" s="76" t="s">
        <v>353</v>
      </c>
      <c r="I1" s="76" t="s">
        <v>140</v>
      </c>
      <c r="J1" s="76" t="s">
        <v>333</v>
      </c>
      <c r="K1" s="80" t="s">
        <v>318</v>
      </c>
      <c r="L1" s="249"/>
      <c r="M1" s="250"/>
      <c r="N1" s="250"/>
    </row>
    <row r="2" spans="1:14" ht="19" thickBot="1" x14ac:dyDescent="0.25">
      <c r="A2" s="81">
        <v>1</v>
      </c>
      <c r="B2" s="82" t="s">
        <v>203</v>
      </c>
      <c r="C2" s="83" t="s">
        <v>147</v>
      </c>
      <c r="D2" s="91">
        <v>190</v>
      </c>
      <c r="E2" s="33">
        <v>4246</v>
      </c>
      <c r="F2" s="33"/>
      <c r="G2" s="92">
        <f>D2*E2 +F2</f>
        <v>806740</v>
      </c>
      <c r="H2" s="248">
        <v>178</v>
      </c>
      <c r="I2" s="35">
        <v>4246</v>
      </c>
      <c r="J2" s="35"/>
      <c r="K2" s="85">
        <f>H2*I2 +J2</f>
        <v>755788</v>
      </c>
      <c r="L2" s="366" t="s">
        <v>303</v>
      </c>
    </row>
    <row r="3" spans="1:14" ht="19" thickBot="1" x14ac:dyDescent="0.25">
      <c r="A3" s="81">
        <v>2</v>
      </c>
      <c r="B3" s="82" t="s">
        <v>204</v>
      </c>
      <c r="C3" s="83" t="s">
        <v>147</v>
      </c>
      <c r="D3" s="91">
        <v>320</v>
      </c>
      <c r="E3" s="33">
        <v>4246</v>
      </c>
      <c r="F3" s="33"/>
      <c r="G3" s="92">
        <f t="shared" ref="G3:G16" si="0">D3*E3 +F3</f>
        <v>1358720</v>
      </c>
      <c r="H3" s="248">
        <v>290</v>
      </c>
      <c r="I3" s="35">
        <v>4246</v>
      </c>
      <c r="J3" s="35"/>
      <c r="K3" s="85">
        <f t="shared" ref="K3:K16" si="1">H3*I3 +J3</f>
        <v>1231340</v>
      </c>
      <c r="L3" s="366" t="s">
        <v>303</v>
      </c>
    </row>
    <row r="4" spans="1:14" ht="19" thickBot="1" x14ac:dyDescent="0.25">
      <c r="A4" s="81">
        <v>3</v>
      </c>
      <c r="B4" s="82" t="s">
        <v>205</v>
      </c>
      <c r="C4" s="83" t="s">
        <v>133</v>
      </c>
      <c r="D4" s="91">
        <v>100</v>
      </c>
      <c r="E4" s="33">
        <v>1200</v>
      </c>
      <c r="F4" s="33">
        <f>E4*D4</f>
        <v>120000</v>
      </c>
      <c r="G4" s="92">
        <f>D4*E4</f>
        <v>120000</v>
      </c>
      <c r="H4" s="248">
        <v>100</v>
      </c>
      <c r="I4" s="35">
        <v>200</v>
      </c>
      <c r="J4" s="35"/>
      <c r="K4" s="85">
        <f t="shared" si="1"/>
        <v>20000</v>
      </c>
      <c r="L4" s="366" t="s">
        <v>303</v>
      </c>
    </row>
    <row r="5" spans="1:14" ht="19" thickBot="1" x14ac:dyDescent="0.25">
      <c r="A5" s="81">
        <v>4</v>
      </c>
      <c r="B5" s="82" t="s">
        <v>206</v>
      </c>
      <c r="C5" s="83" t="s">
        <v>147</v>
      </c>
      <c r="D5" s="252">
        <v>50</v>
      </c>
      <c r="E5" s="33">
        <v>4246</v>
      </c>
      <c r="F5" s="33">
        <v>0</v>
      </c>
      <c r="G5" s="92">
        <f t="shared" si="0"/>
        <v>212300</v>
      </c>
      <c r="H5" s="248">
        <v>35</v>
      </c>
      <c r="I5" s="35">
        <v>4246</v>
      </c>
      <c r="J5" s="35">
        <f>I4*H4</f>
        <v>20000</v>
      </c>
      <c r="K5" s="85">
        <f t="shared" si="1"/>
        <v>168610</v>
      </c>
      <c r="L5" s="366" t="s">
        <v>303</v>
      </c>
    </row>
    <row r="6" spans="1:14" ht="16" thickBot="1" x14ac:dyDescent="0.25">
      <c r="A6" s="81">
        <v>5</v>
      </c>
      <c r="B6" s="82" t="s">
        <v>280</v>
      </c>
      <c r="C6" s="83" t="s">
        <v>133</v>
      </c>
      <c r="D6" s="91">
        <v>2</v>
      </c>
      <c r="E6" s="33">
        <v>20000</v>
      </c>
      <c r="F6" s="33">
        <v>40000</v>
      </c>
      <c r="G6" s="92">
        <f>D6*E6</f>
        <v>40000</v>
      </c>
      <c r="H6" s="84"/>
      <c r="I6" s="35"/>
      <c r="J6" s="35"/>
      <c r="K6" s="85">
        <f t="shared" si="1"/>
        <v>0</v>
      </c>
    </row>
    <row r="7" spans="1:14" ht="19" thickBot="1" x14ac:dyDescent="0.25">
      <c r="A7" s="81">
        <v>6</v>
      </c>
      <c r="B7" s="82" t="s">
        <v>154</v>
      </c>
      <c r="C7" s="83" t="s">
        <v>147</v>
      </c>
      <c r="D7" s="91">
        <v>150</v>
      </c>
      <c r="E7" s="34">
        <v>4246</v>
      </c>
      <c r="F7" s="34"/>
      <c r="G7" s="92">
        <f t="shared" si="0"/>
        <v>636900</v>
      </c>
      <c r="H7" s="248">
        <v>170</v>
      </c>
      <c r="I7" s="56">
        <v>4246</v>
      </c>
      <c r="J7" s="56"/>
      <c r="K7" s="85">
        <f t="shared" si="1"/>
        <v>721820</v>
      </c>
      <c r="L7" s="366" t="s">
        <v>303</v>
      </c>
    </row>
    <row r="8" spans="1:14" ht="19" thickBot="1" x14ac:dyDescent="0.25">
      <c r="A8" s="81">
        <v>7</v>
      </c>
      <c r="B8" s="82" t="s">
        <v>207</v>
      </c>
      <c r="C8" s="83" t="s">
        <v>147</v>
      </c>
      <c r="D8" s="91">
        <v>175</v>
      </c>
      <c r="E8" s="34">
        <v>4246</v>
      </c>
      <c r="F8" s="34"/>
      <c r="G8" s="92">
        <f t="shared" si="0"/>
        <v>743050</v>
      </c>
      <c r="H8" s="248">
        <v>180</v>
      </c>
      <c r="I8" s="56">
        <v>4246</v>
      </c>
      <c r="J8" s="56"/>
      <c r="K8" s="85">
        <f t="shared" si="1"/>
        <v>764280</v>
      </c>
      <c r="L8" s="366" t="s">
        <v>303</v>
      </c>
    </row>
    <row r="9" spans="1:14" ht="19" thickBot="1" x14ac:dyDescent="0.25">
      <c r="A9" s="81">
        <v>8</v>
      </c>
      <c r="B9" s="82" t="s">
        <v>160</v>
      </c>
      <c r="C9" s="39" t="s">
        <v>147</v>
      </c>
      <c r="D9" s="91">
        <v>250</v>
      </c>
      <c r="E9" s="34">
        <v>4246</v>
      </c>
      <c r="F9" s="44"/>
      <c r="G9" s="92">
        <f t="shared" si="0"/>
        <v>1061500</v>
      </c>
      <c r="H9" s="248">
        <v>210</v>
      </c>
      <c r="I9" s="56">
        <v>4246</v>
      </c>
      <c r="J9" s="77"/>
      <c r="K9" s="85">
        <f t="shared" si="1"/>
        <v>891660</v>
      </c>
      <c r="L9" s="366" t="s">
        <v>303</v>
      </c>
    </row>
    <row r="10" spans="1:14" ht="19" thickBot="1" x14ac:dyDescent="0.25">
      <c r="A10" s="81">
        <v>9</v>
      </c>
      <c r="B10" s="82" t="s">
        <v>162</v>
      </c>
      <c r="C10" s="83" t="s">
        <v>147</v>
      </c>
      <c r="D10" s="91">
        <v>50</v>
      </c>
      <c r="E10" s="34">
        <v>4246</v>
      </c>
      <c r="F10" s="44"/>
      <c r="G10" s="92">
        <f t="shared" si="0"/>
        <v>212300</v>
      </c>
      <c r="H10" s="248">
        <v>35</v>
      </c>
      <c r="I10" s="56">
        <v>4246</v>
      </c>
      <c r="J10" s="77"/>
      <c r="K10" s="85">
        <f t="shared" si="1"/>
        <v>148610</v>
      </c>
      <c r="L10" s="366" t="s">
        <v>303</v>
      </c>
    </row>
    <row r="11" spans="1:14" ht="19" thickBot="1" x14ac:dyDescent="0.25">
      <c r="A11" s="81">
        <v>10</v>
      </c>
      <c r="B11" s="82" t="s">
        <v>208</v>
      </c>
      <c r="C11" s="83" t="s">
        <v>147</v>
      </c>
      <c r="D11" s="91">
        <v>20</v>
      </c>
      <c r="E11" s="34">
        <v>4246</v>
      </c>
      <c r="F11" s="44">
        <f>550000*1.2</f>
        <v>660000</v>
      </c>
      <c r="G11" s="92">
        <f t="shared" si="0"/>
        <v>744920</v>
      </c>
      <c r="H11" s="248">
        <v>35</v>
      </c>
      <c r="I11" s="56">
        <v>4246</v>
      </c>
      <c r="J11" s="77">
        <v>550000</v>
      </c>
      <c r="K11" s="85">
        <f t="shared" si="1"/>
        <v>698610</v>
      </c>
      <c r="L11" s="366" t="s">
        <v>303</v>
      </c>
    </row>
    <row r="12" spans="1:14" ht="19" thickBot="1" x14ac:dyDescent="0.25">
      <c r="A12" s="81">
        <v>11</v>
      </c>
      <c r="B12" s="82" t="s">
        <v>209</v>
      </c>
      <c r="C12" s="83" t="s">
        <v>147</v>
      </c>
      <c r="D12" s="91">
        <v>100</v>
      </c>
      <c r="E12" s="34">
        <v>4246</v>
      </c>
      <c r="F12" s="34">
        <v>0</v>
      </c>
      <c r="G12" s="92">
        <f t="shared" si="0"/>
        <v>424600</v>
      </c>
      <c r="H12" s="248">
        <v>78</v>
      </c>
      <c r="I12" s="56">
        <v>4246</v>
      </c>
      <c r="J12" s="56">
        <v>0</v>
      </c>
      <c r="K12" s="85">
        <f t="shared" si="1"/>
        <v>331188</v>
      </c>
      <c r="L12" s="366" t="s">
        <v>303</v>
      </c>
    </row>
    <row r="13" spans="1:14" ht="16" thickBot="1" x14ac:dyDescent="0.25">
      <c r="A13" s="81">
        <v>12</v>
      </c>
      <c r="B13" s="82" t="s">
        <v>210</v>
      </c>
      <c r="C13" s="39" t="s">
        <v>133</v>
      </c>
      <c r="D13" s="91">
        <v>0</v>
      </c>
      <c r="E13" s="34"/>
      <c r="F13" s="44"/>
      <c r="G13" s="92">
        <f t="shared" si="0"/>
        <v>0</v>
      </c>
      <c r="H13" s="84">
        <v>0</v>
      </c>
      <c r="I13" s="77"/>
      <c r="J13" s="77"/>
      <c r="K13" s="85">
        <f t="shared" si="1"/>
        <v>0</v>
      </c>
    </row>
    <row r="14" spans="1:14" ht="19" thickBot="1" x14ac:dyDescent="0.25">
      <c r="A14" s="81">
        <v>13</v>
      </c>
      <c r="B14" s="82" t="s">
        <v>211</v>
      </c>
      <c r="C14" s="39" t="s">
        <v>147</v>
      </c>
      <c r="D14" s="91">
        <v>110</v>
      </c>
      <c r="E14" s="33">
        <v>4246</v>
      </c>
      <c r="F14" s="33">
        <v>400000</v>
      </c>
      <c r="G14" s="92">
        <f t="shared" si="0"/>
        <v>867060</v>
      </c>
      <c r="H14" s="248">
        <v>90</v>
      </c>
      <c r="I14" s="35">
        <v>4246</v>
      </c>
      <c r="J14" s="35"/>
      <c r="K14" s="85">
        <f t="shared" si="1"/>
        <v>382140</v>
      </c>
      <c r="L14" s="366" t="s">
        <v>303</v>
      </c>
    </row>
    <row r="15" spans="1:14" ht="19" thickBot="1" x14ac:dyDescent="0.25">
      <c r="A15" s="81">
        <v>14</v>
      </c>
      <c r="B15" s="82" t="s">
        <v>212</v>
      </c>
      <c r="C15" s="83" t="s">
        <v>147</v>
      </c>
      <c r="D15" s="91">
        <v>200</v>
      </c>
      <c r="E15" s="33">
        <v>4246</v>
      </c>
      <c r="F15" s="33">
        <v>50000</v>
      </c>
      <c r="G15" s="92">
        <f t="shared" si="0"/>
        <v>899200</v>
      </c>
      <c r="H15" s="248">
        <v>30</v>
      </c>
      <c r="I15" s="35">
        <v>4246</v>
      </c>
      <c r="J15" s="35"/>
      <c r="K15" s="85">
        <f t="shared" si="1"/>
        <v>127380</v>
      </c>
      <c r="L15" s="366" t="s">
        <v>303</v>
      </c>
    </row>
    <row r="16" spans="1:14" ht="19" thickBot="1" x14ac:dyDescent="0.25">
      <c r="A16" s="81">
        <v>15</v>
      </c>
      <c r="B16" s="82" t="s">
        <v>213</v>
      </c>
      <c r="C16" s="83" t="s">
        <v>147</v>
      </c>
      <c r="D16" s="93">
        <v>15</v>
      </c>
      <c r="E16" s="33">
        <v>15467</v>
      </c>
      <c r="F16" s="33"/>
      <c r="G16" s="92">
        <f t="shared" si="0"/>
        <v>232005</v>
      </c>
      <c r="H16" s="253">
        <v>4</v>
      </c>
      <c r="I16" s="35">
        <v>15467</v>
      </c>
      <c r="J16" s="35"/>
      <c r="K16" s="85">
        <f t="shared" si="1"/>
        <v>61868</v>
      </c>
      <c r="L16" s="366" t="s">
        <v>303</v>
      </c>
    </row>
    <row r="17" spans="1:12" ht="16" thickBot="1" x14ac:dyDescent="0.25">
      <c r="A17" s="24"/>
      <c r="B17" s="46" t="s">
        <v>202</v>
      </c>
      <c r="C17" s="46"/>
      <c r="D17" s="87"/>
      <c r="E17" s="27"/>
      <c r="F17" s="88">
        <f>SUM(F2:F16)</f>
        <v>1270000</v>
      </c>
      <c r="G17" s="88">
        <f>SUM(G2:G16)</f>
        <v>8359295</v>
      </c>
      <c r="H17" s="87"/>
      <c r="I17" s="27"/>
      <c r="J17" s="88">
        <f>SUM(J2:J16)</f>
        <v>570000</v>
      </c>
      <c r="K17" s="88">
        <f>SUM(K2:K16)</f>
        <v>6303294</v>
      </c>
      <c r="L17" s="86"/>
    </row>
    <row r="19" spans="1:12" x14ac:dyDescent="0.2">
      <c r="D19" s="251"/>
    </row>
    <row r="22" spans="1:12" ht="15" customHeight="1" x14ac:dyDescent="0.2">
      <c r="B22" s="543"/>
      <c r="C22" s="543"/>
      <c r="D22" s="543"/>
      <c r="E22" s="543"/>
      <c r="F22" s="543"/>
      <c r="G22" s="543"/>
      <c r="H22" s="543"/>
    </row>
    <row r="23" spans="1:12" x14ac:dyDescent="0.2">
      <c r="B23" s="543"/>
      <c r="C23" s="543"/>
      <c r="D23" s="543"/>
      <c r="E23" s="543"/>
      <c r="F23" s="543"/>
      <c r="G23" s="543"/>
      <c r="H23" s="543"/>
    </row>
    <row r="24" spans="1:12" x14ac:dyDescent="0.2">
      <c r="B24" s="543"/>
      <c r="C24" s="543"/>
      <c r="D24" s="543"/>
      <c r="E24" s="543"/>
      <c r="F24" s="543"/>
      <c r="G24" s="543"/>
      <c r="H24" s="543"/>
    </row>
    <row r="25" spans="1:12" x14ac:dyDescent="0.2">
      <c r="B25" s="543"/>
      <c r="C25" s="543"/>
      <c r="D25" s="543"/>
      <c r="E25" s="543"/>
      <c r="F25" s="543"/>
      <c r="G25" s="543"/>
      <c r="H25" s="543"/>
    </row>
    <row r="26" spans="1:12" x14ac:dyDescent="0.2">
      <c r="B26" s="543"/>
      <c r="C26" s="543"/>
      <c r="D26" s="543"/>
      <c r="E26" s="543"/>
      <c r="F26" s="543"/>
      <c r="G26" s="543"/>
      <c r="H26" s="543"/>
    </row>
  </sheetData>
  <mergeCells count="1">
    <mergeCell ref="B22:H2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08458-0150-ED47-B424-458A8248B147}">
  <dimension ref="A1:AC20"/>
  <sheetViews>
    <sheetView workbookViewId="0">
      <selection activeCell="C17" sqref="C17"/>
    </sheetView>
  </sheetViews>
  <sheetFormatPr baseColWidth="10" defaultRowHeight="15" x14ac:dyDescent="0.2"/>
  <cols>
    <col min="1" max="1" width="16.83203125" customWidth="1"/>
    <col min="2" max="2" width="7.6640625" customWidth="1"/>
    <col min="3" max="3" width="14.5" customWidth="1"/>
    <col min="4" max="4" width="8.5" customWidth="1"/>
    <col min="5" max="5" width="14.5" customWidth="1"/>
    <col min="6" max="6" width="12.6640625" customWidth="1"/>
    <col min="7" max="7" width="8.1640625" customWidth="1"/>
    <col min="8" max="8" width="14.5" customWidth="1"/>
    <col min="9" max="9" width="8" customWidth="1"/>
    <col min="10" max="10" width="14.5" customWidth="1"/>
    <col min="11" max="11" width="13.33203125" customWidth="1"/>
    <col min="12" max="12" width="7.5" customWidth="1"/>
    <col min="13" max="13" width="11.1640625" customWidth="1"/>
    <col min="14" max="14" width="13.1640625" customWidth="1"/>
    <col min="15" max="15" width="9.5" customWidth="1"/>
    <col min="16" max="17" width="11.6640625" customWidth="1"/>
    <col min="18" max="18" width="14.5" customWidth="1"/>
    <col min="19" max="19" width="10.33203125" customWidth="1"/>
    <col min="20" max="20" width="11.5" customWidth="1"/>
    <col min="21" max="21" width="10.6640625" customWidth="1"/>
    <col min="22" max="22" width="13.1640625" customWidth="1"/>
    <col min="23" max="23" width="12.33203125" customWidth="1"/>
    <col min="24" max="24" width="10.6640625" customWidth="1"/>
    <col min="25" max="25" width="12.33203125" customWidth="1"/>
    <col min="26" max="27" width="14.1640625" customWidth="1"/>
    <col min="28" max="28" width="10.5" customWidth="1"/>
    <col min="29" max="29" width="11.6640625" customWidth="1"/>
    <col min="30" max="30" width="14.33203125" customWidth="1"/>
  </cols>
  <sheetData>
    <row r="1" spans="1:29" ht="16" thickBot="1" x14ac:dyDescent="0.25">
      <c r="Q1" s="442"/>
      <c r="R1" s="442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</row>
    <row r="2" spans="1:29" ht="18" x14ac:dyDescent="0.2">
      <c r="A2" s="551" t="s">
        <v>319</v>
      </c>
      <c r="B2" s="554" t="s">
        <v>363</v>
      </c>
      <c r="C2" s="555"/>
      <c r="D2" s="555"/>
      <c r="E2" s="555"/>
      <c r="F2" s="556"/>
      <c r="G2" s="557" t="s">
        <v>364</v>
      </c>
      <c r="H2" s="558"/>
      <c r="I2" s="558"/>
      <c r="J2" s="558"/>
      <c r="K2" s="559"/>
      <c r="L2" s="560" t="s">
        <v>320</v>
      </c>
      <c r="M2" s="561"/>
      <c r="N2" s="562"/>
      <c r="O2" s="563" t="s">
        <v>321</v>
      </c>
      <c r="P2" s="564"/>
      <c r="Q2" s="544" t="s">
        <v>365</v>
      </c>
      <c r="R2" s="545"/>
      <c r="S2" s="546" t="s">
        <v>366</v>
      </c>
      <c r="T2" s="547"/>
      <c r="U2" s="547"/>
      <c r="V2" s="547"/>
      <c r="W2" s="547"/>
      <c r="X2" s="547"/>
      <c r="Y2" s="547"/>
      <c r="Z2" s="547"/>
      <c r="AA2" s="548"/>
      <c r="AB2" s="565" t="s">
        <v>367</v>
      </c>
      <c r="AC2" s="566"/>
    </row>
    <row r="3" spans="1:29" ht="38" x14ac:dyDescent="0.2">
      <c r="A3" s="552"/>
      <c r="B3" s="567" t="s">
        <v>147</v>
      </c>
      <c r="C3" s="567" t="s">
        <v>322</v>
      </c>
      <c r="D3" s="569" t="s">
        <v>368</v>
      </c>
      <c r="E3" s="570"/>
      <c r="F3" s="571" t="s">
        <v>369</v>
      </c>
      <c r="G3" s="573" t="s">
        <v>147</v>
      </c>
      <c r="H3" s="575" t="s">
        <v>322</v>
      </c>
      <c r="I3" s="577" t="s">
        <v>368</v>
      </c>
      <c r="J3" s="578"/>
      <c r="K3" s="579" t="s">
        <v>369</v>
      </c>
      <c r="L3" s="581" t="s">
        <v>147</v>
      </c>
      <c r="M3" s="583" t="s">
        <v>322</v>
      </c>
      <c r="N3" s="585" t="s">
        <v>369</v>
      </c>
      <c r="O3" s="587" t="s">
        <v>147</v>
      </c>
      <c r="P3" s="589" t="s">
        <v>322</v>
      </c>
      <c r="Q3" s="591" t="s">
        <v>147</v>
      </c>
      <c r="R3" s="593" t="s">
        <v>322</v>
      </c>
      <c r="S3" s="549" t="s">
        <v>323</v>
      </c>
      <c r="T3" s="446" t="s">
        <v>324</v>
      </c>
      <c r="U3" s="599" t="s">
        <v>370</v>
      </c>
      <c r="V3" s="595" t="s">
        <v>371</v>
      </c>
      <c r="W3" s="599" t="s">
        <v>325</v>
      </c>
      <c r="X3" s="595" t="s">
        <v>326</v>
      </c>
      <c r="Y3" s="599" t="s">
        <v>372</v>
      </c>
      <c r="Z3" s="595" t="s">
        <v>373</v>
      </c>
      <c r="AA3" s="597" t="s">
        <v>374</v>
      </c>
      <c r="AB3" s="599" t="s">
        <v>147</v>
      </c>
      <c r="AC3" s="595" t="s">
        <v>322</v>
      </c>
    </row>
    <row r="4" spans="1:29" ht="18" customHeight="1" thickBot="1" x14ac:dyDescent="0.25">
      <c r="A4" s="553"/>
      <c r="B4" s="568"/>
      <c r="C4" s="568"/>
      <c r="D4" s="447" t="s">
        <v>147</v>
      </c>
      <c r="E4" s="444" t="s">
        <v>322</v>
      </c>
      <c r="F4" s="572"/>
      <c r="G4" s="574"/>
      <c r="H4" s="576"/>
      <c r="I4" s="448" t="s">
        <v>147</v>
      </c>
      <c r="J4" s="445" t="s">
        <v>322</v>
      </c>
      <c r="K4" s="580"/>
      <c r="L4" s="582"/>
      <c r="M4" s="584"/>
      <c r="N4" s="586"/>
      <c r="O4" s="588"/>
      <c r="P4" s="590"/>
      <c r="Q4" s="592"/>
      <c r="R4" s="594"/>
      <c r="S4" s="550"/>
      <c r="T4" s="449"/>
      <c r="U4" s="600"/>
      <c r="V4" s="596"/>
      <c r="W4" s="600"/>
      <c r="X4" s="596"/>
      <c r="Y4" s="600"/>
      <c r="Z4" s="596"/>
      <c r="AA4" s="598"/>
      <c r="AB4" s="600"/>
      <c r="AC4" s="596"/>
    </row>
    <row r="5" spans="1:29" ht="39" customHeight="1" thickBot="1" x14ac:dyDescent="0.25">
      <c r="A5" s="309" t="s">
        <v>215</v>
      </c>
      <c r="B5" s="450">
        <f>'[3]Állandó bérlők'!B16+[3]KSK!B11+'[3]Egyéb bérlők(csarnok,iskola)'!G31</f>
        <v>69</v>
      </c>
      <c r="C5" s="451">
        <f>'[3]Állandó bérlők'!G16+[3]KSK!D11+'[3]Egyéb bérlők(csarnok,iskola)'!H31</f>
        <v>521720</v>
      </c>
      <c r="D5" s="452">
        <f>'[3]Állandó bérlők'!B4</f>
        <v>34</v>
      </c>
      <c r="E5" s="453">
        <f>'[3]Állandó bérlők'!G4</f>
        <v>265625</v>
      </c>
      <c r="F5" s="454">
        <v>0</v>
      </c>
      <c r="G5" s="455">
        <f>'[3]Állandó bérlők'!C16+[3]KSK!C11+'[3]Egyéb bérlők(csarnok,iskola)'!E31</f>
        <v>180.5</v>
      </c>
      <c r="H5" s="456">
        <f>'[3]Állandó bérlők'!H16+[3]KSK!E11+'[3]Egyéb bérlők(csarnok,iskola)'!F31</f>
        <v>3020605.5</v>
      </c>
      <c r="I5" s="456">
        <f>'[3]Állandó bérlők'!C4</f>
        <v>102</v>
      </c>
      <c r="J5" s="457">
        <f>'[3]Állandó bérlők'!H4</f>
        <v>796875</v>
      </c>
      <c r="K5" s="458">
        <v>0</v>
      </c>
      <c r="L5" s="459">
        <f>'[3]Egyéb bérlők(csarnok,iskola)'!I4</f>
        <v>0</v>
      </c>
      <c r="M5" s="460">
        <f>'[3]Egyéb bérlők(csarnok,iskola)'!J4</f>
        <v>0</v>
      </c>
      <c r="N5" s="461">
        <v>0</v>
      </c>
      <c r="O5" s="462">
        <f>'[3]Állandó bérlők'!E16</f>
        <v>39.25</v>
      </c>
      <c r="P5" s="463">
        <f>'[3]Állandó bérlők'!F16</f>
        <v>62375</v>
      </c>
      <c r="Q5" s="464">
        <f>G5+K5+L5+N5+O5</f>
        <v>219.75</v>
      </c>
      <c r="R5" s="465">
        <f>H5+M5+P5</f>
        <v>3082980.5</v>
      </c>
      <c r="S5" s="371">
        <f>[3]Sportpálya!B17</f>
        <v>30.5</v>
      </c>
      <c r="T5" s="372">
        <f>S5*9462</f>
        <v>288591</v>
      </c>
      <c r="U5" s="371">
        <f>[3]Sportpálya!C17</f>
        <v>8.5</v>
      </c>
      <c r="V5" s="372">
        <f>U5*18923</f>
        <v>160845.5</v>
      </c>
      <c r="W5" s="371">
        <v>0</v>
      </c>
      <c r="X5" s="373">
        <v>0</v>
      </c>
      <c r="Y5" s="371">
        <v>1</v>
      </c>
      <c r="Z5" s="372">
        <f>Y5*37846</f>
        <v>37846</v>
      </c>
      <c r="AA5" s="466">
        <f>T5+V5+Z5</f>
        <v>487282.5</v>
      </c>
      <c r="AB5" s="374">
        <f>[3]Sportpálya!H17</f>
        <v>8</v>
      </c>
      <c r="AC5" s="372">
        <f>[3]Sportpálya!I17</f>
        <v>57200</v>
      </c>
    </row>
    <row r="6" spans="1:29" ht="19" thickBot="1" x14ac:dyDescent="0.25">
      <c r="A6" s="309" t="s">
        <v>216</v>
      </c>
      <c r="B6" s="450">
        <f>'[3]Állandó bérlők'!I16+[3]KSK!F11+'[3]Egyéb bérlők(csarnok,iskola)'!P31</f>
        <v>73.75</v>
      </c>
      <c r="C6" s="451">
        <f>'[3]Állandó bérlők'!N16+[3]KSK!H11</f>
        <v>560869.5</v>
      </c>
      <c r="D6" s="452">
        <f>'[3]Állandó bérlők'!I4</f>
        <v>38</v>
      </c>
      <c r="E6" s="453">
        <f>'[3]Állandó bérlők'!N4</f>
        <v>296875</v>
      </c>
      <c r="F6" s="454">
        <v>0</v>
      </c>
      <c r="G6" s="375">
        <f>'[3]Állandó bérlők'!J16+[3]KSK!G11+'[3]Egyéb bérlők(csarnok,iskola)'!N31</f>
        <v>166</v>
      </c>
      <c r="H6" s="456">
        <f>'[3]Állandó bérlők'!O16+[3]KSK!I11+'[3]Egyéb bérlők(csarnok,iskola)'!O31</f>
        <v>2592994</v>
      </c>
      <c r="I6" s="456">
        <f>'[3]Állandó bérlők'!J4</f>
        <v>114</v>
      </c>
      <c r="J6" s="457">
        <f>'[3]Állandó bérlők'!O4</f>
        <v>890625</v>
      </c>
      <c r="K6" s="458">
        <v>0</v>
      </c>
      <c r="L6" s="459">
        <v>0</v>
      </c>
      <c r="M6" s="460">
        <v>0</v>
      </c>
      <c r="N6" s="461">
        <v>0</v>
      </c>
      <c r="O6" s="462">
        <f>'[3]Állandó bérlők'!L16</f>
        <v>46.25</v>
      </c>
      <c r="P6" s="463">
        <f>'[3]Állandó bérlők'!M16</f>
        <v>62375</v>
      </c>
      <c r="Q6" s="464">
        <f>G6+K6+L6+N6+O6</f>
        <v>212.25</v>
      </c>
      <c r="R6" s="465">
        <f t="shared" ref="R6:R16" si="0">H6+M6+P6</f>
        <v>2655369</v>
      </c>
      <c r="S6" s="376">
        <f>[3]Sportpálya!K17</f>
        <v>18</v>
      </c>
      <c r="T6" s="372">
        <f>S6*9462</f>
        <v>170316</v>
      </c>
      <c r="U6" s="376">
        <f>[3]Sportpálya!L17</f>
        <v>29</v>
      </c>
      <c r="V6" s="377">
        <f>U6*18923</f>
        <v>548767</v>
      </c>
      <c r="W6" s="376">
        <v>0</v>
      </c>
      <c r="X6" s="373">
        <v>0</v>
      </c>
      <c r="Y6" s="376">
        <f>[3]Sportpálya!O17</f>
        <v>7</v>
      </c>
      <c r="Z6" s="372">
        <f>Y6*37846</f>
        <v>264922</v>
      </c>
      <c r="AA6" s="466">
        <f>T6+V6+Z6</f>
        <v>984005</v>
      </c>
      <c r="AB6" s="374">
        <f>[3]Sportpálya!Q17</f>
        <v>17</v>
      </c>
      <c r="AC6" s="372">
        <f>[3]Sportpálya!R17</f>
        <v>121550</v>
      </c>
    </row>
    <row r="7" spans="1:29" ht="19" thickBot="1" x14ac:dyDescent="0.25">
      <c r="A7" s="309" t="s">
        <v>217</v>
      </c>
      <c r="B7" s="450">
        <f>'[3]Állandó bérlők'!P16+[3]KSK!J11+'[3]Egyéb bérlők(csarnok,iskola)'!Y31</f>
        <v>61.5</v>
      </c>
      <c r="C7" s="451">
        <f>'[3]Állandó bérlők'!U16+[3]KSK!L11+'[3]Egyéb bérlők(csarnok,iskola)'!Z31</f>
        <v>567369</v>
      </c>
      <c r="D7" s="452">
        <f>'[3]Állandó bérlők'!P15</f>
        <v>38</v>
      </c>
      <c r="E7" s="453">
        <f>'[3]Állandó bérlők'!U15</f>
        <v>326562.5</v>
      </c>
      <c r="F7" s="454">
        <f>'[3]Egyéb bérlők(csarnok,iskola)'!U31</f>
        <v>0</v>
      </c>
      <c r="G7" s="375">
        <f>'[3]Állandó bérlők'!Q16+[3]KSK!K11+'[3]Egyéb bérlők(csarnok,iskola)'!W31</f>
        <v>140</v>
      </c>
      <c r="H7" s="456">
        <f>'[3]Állandó bérlők'!V16+[3]KSK!M11+'[3]Egyéb bérlők(csarnok,iskola)'!X31</f>
        <v>2289187.5</v>
      </c>
      <c r="I7" s="456">
        <f>'[3]Állandó bérlők'!Q15</f>
        <v>114</v>
      </c>
      <c r="J7" s="457">
        <f>'[3]Állandó bérlők'!V15</f>
        <v>979687.5</v>
      </c>
      <c r="K7" s="458">
        <f>'[3]Egyéb bérlők(csarnok,iskola)'!T31</f>
        <v>10</v>
      </c>
      <c r="L7" s="467">
        <v>0</v>
      </c>
      <c r="M7" s="468">
        <v>0</v>
      </c>
      <c r="N7" s="461">
        <v>3</v>
      </c>
      <c r="O7" s="469">
        <f>'[3]Állandó bérlők'!S16</f>
        <v>50.25</v>
      </c>
      <c r="P7" s="463">
        <f>'[3]Állandó bérlők'!T16</f>
        <v>64625</v>
      </c>
      <c r="Q7" s="464">
        <f t="shared" ref="Q7:Q16" si="1">G7+K7+L7+N7+O7</f>
        <v>203.25</v>
      </c>
      <c r="R7" s="465">
        <f t="shared" si="0"/>
        <v>2353812.5</v>
      </c>
      <c r="S7" s="376">
        <f>[3]Sportpálya!T17</f>
        <v>8</v>
      </c>
      <c r="T7" s="372">
        <f>S7*13934</f>
        <v>111472</v>
      </c>
      <c r="U7" s="376">
        <f>[3]Sportpálya!U17</f>
        <v>14</v>
      </c>
      <c r="V7" s="377">
        <f>U7*27868</f>
        <v>390152</v>
      </c>
      <c r="W7" s="376">
        <v>0</v>
      </c>
      <c r="X7" s="373">
        <v>0</v>
      </c>
      <c r="Y7" s="376">
        <f>[3]Sportpálya!W17+[3]Sportpálya!X17</f>
        <v>14.5</v>
      </c>
      <c r="Z7" s="372">
        <f>Y7*55737</f>
        <v>808186.5</v>
      </c>
      <c r="AA7" s="466">
        <f>T7+V7+Z7</f>
        <v>1309810.5</v>
      </c>
      <c r="AB7" s="378">
        <v>0</v>
      </c>
      <c r="AC7" s="373">
        <v>0</v>
      </c>
    </row>
    <row r="8" spans="1:29" ht="19" thickBot="1" x14ac:dyDescent="0.25">
      <c r="A8" s="309" t="s">
        <v>218</v>
      </c>
      <c r="B8" s="450">
        <f>'[3]Állandó bérlők'!W16+[3]KSK!N11+'[3]Egyéb bérlők(csarnok,iskola)'!AH31</f>
        <v>43.75</v>
      </c>
      <c r="C8" s="451">
        <f>'[3]Állandó bérlők'!AB16+[3]KSK!P11+'[3]Egyéb bérlők(csarnok,iskola)'!AI31</f>
        <v>402414.5</v>
      </c>
      <c r="D8" s="452">
        <f>'[3]Állandó bérlők'!W15</f>
        <v>30</v>
      </c>
      <c r="E8" s="453">
        <f>'[3]Állandó bérlők'!AB15</f>
        <v>257812.5</v>
      </c>
      <c r="F8" s="454">
        <f>'[3]Egyéb bérlők(csarnok,iskola)'!AD31</f>
        <v>4</v>
      </c>
      <c r="G8" s="455">
        <f>'[3]Állandó bérlők'!X16+[3]KSK!O11+'[3]Egyéb bérlők(csarnok,iskola)'!AF31</f>
        <v>134.5</v>
      </c>
      <c r="H8" s="456">
        <f>'[3]Állandó bérlők'!AC16+[3]KSK!Q11+'[3]Egyéb bérlők(csarnok,iskola)'!AG31</f>
        <v>2407712.5</v>
      </c>
      <c r="I8" s="456">
        <f>'[3]Állandó bérlők'!X15</f>
        <v>90</v>
      </c>
      <c r="J8" s="457">
        <f>'[3]Állandó bérlők'!AC15</f>
        <v>773437.5</v>
      </c>
      <c r="K8" s="458">
        <f>'[3]Egyéb bérlők(csarnok,iskola)'!AC31</f>
        <v>0</v>
      </c>
      <c r="L8" s="467">
        <f>'[3]Egyéb bérlők(csarnok,iskola)'!AJ31</f>
        <v>20</v>
      </c>
      <c r="M8" s="460">
        <f>'[3]Egyéb bérlők(csarnok,iskola)'!AK31</f>
        <v>120000</v>
      </c>
      <c r="N8" s="461">
        <f>'[3]Egyéb bérlők(csarnok,iskola)'!AE31</f>
        <v>0</v>
      </c>
      <c r="O8" s="469">
        <f>'[3]Állandó bérlők'!Z16</f>
        <v>39.5</v>
      </c>
      <c r="P8" s="463">
        <f>'[3]Állandó bérlők'!AA16</f>
        <v>64750</v>
      </c>
      <c r="Q8" s="464">
        <f t="shared" si="1"/>
        <v>194</v>
      </c>
      <c r="R8" s="465">
        <f t="shared" si="0"/>
        <v>2592462.5</v>
      </c>
      <c r="S8" s="376"/>
      <c r="T8" s="372"/>
      <c r="U8" s="379"/>
      <c r="V8" s="377"/>
      <c r="W8" s="376"/>
      <c r="X8" s="373"/>
      <c r="Y8" s="376"/>
      <c r="Z8" s="372"/>
      <c r="AA8" s="466"/>
      <c r="AB8" s="378"/>
      <c r="AC8" s="373"/>
    </row>
    <row r="9" spans="1:29" ht="19" thickBot="1" x14ac:dyDescent="0.25">
      <c r="A9" s="309" t="s">
        <v>219</v>
      </c>
      <c r="B9" s="450">
        <f>'[3]Állandó bérlők'!AD16+[3]KSK!R11+'[3]Egyéb bérlők(csarnok,iskola)'!AQ31</f>
        <v>56.25</v>
      </c>
      <c r="C9" s="451">
        <f>'[3]Állandó bérlők'!AI16+[3]KSK!T11+'[3]Egyéb bérlők(csarnok,iskola)'!AR31</f>
        <v>516225.5</v>
      </c>
      <c r="D9" s="452">
        <f>'[3]Állandó bérlők'!AD15</f>
        <v>42</v>
      </c>
      <c r="E9" s="453">
        <f>'[3]Állandó bérlők'!AI15</f>
        <v>360937.5</v>
      </c>
      <c r="F9" s="454">
        <f>'[3]Egyéb bérlők(csarnok,iskola)'!AM31</f>
        <v>0</v>
      </c>
      <c r="G9" s="375">
        <f>'[3]Állandó bérlők'!AE16+[3]KSK!S11+'[3]Egyéb bérlők(csarnok,iskola)'!AO31</f>
        <v>143</v>
      </c>
      <c r="H9" s="456">
        <f>'[3]Állandó bérlők'!AJ16+[3]KSK!U11+'[3]Egyéb bérlők(csarnok,iskola)'!AP31</f>
        <v>2396750</v>
      </c>
      <c r="I9" s="456">
        <f>'[3]Állandó bérlők'!AE15</f>
        <v>126</v>
      </c>
      <c r="J9" s="457">
        <f>'[3]Állandó bérlők'!AJ15</f>
        <v>1082812.5</v>
      </c>
      <c r="K9" s="458">
        <f>'[3]Egyéb bérlők(csarnok,iskola)'!AL31</f>
        <v>0</v>
      </c>
      <c r="L9" s="467">
        <f>'[3]Egyéb bérlők(csarnok,iskola)'!AS31</f>
        <v>0</v>
      </c>
      <c r="M9" s="460">
        <f>'[3]Egyéb bérlők(csarnok,iskola)'!AT31</f>
        <v>0</v>
      </c>
      <c r="N9" s="461">
        <f>'[3]Egyéb bérlők(csarnok,iskola)'!AN31</f>
        <v>3</v>
      </c>
      <c r="O9" s="469">
        <f>'[3]Állandó bérlők'!AG16</f>
        <v>45.75</v>
      </c>
      <c r="P9" s="463">
        <f>'[3]Állandó bérlők'!AH16</f>
        <v>59875</v>
      </c>
      <c r="Q9" s="464">
        <f t="shared" si="1"/>
        <v>191.75</v>
      </c>
      <c r="R9" s="465">
        <f t="shared" si="0"/>
        <v>2456625</v>
      </c>
      <c r="S9" s="376"/>
      <c r="T9" s="372"/>
      <c r="U9" s="379"/>
      <c r="V9" s="377"/>
      <c r="W9" s="376"/>
      <c r="X9" s="377"/>
      <c r="Y9" s="376"/>
      <c r="Z9" s="372"/>
      <c r="AA9" s="466"/>
      <c r="AB9" s="378"/>
      <c r="AC9" s="373"/>
    </row>
    <row r="10" spans="1:29" ht="19" thickBot="1" x14ac:dyDescent="0.25">
      <c r="A10" s="309" t="s">
        <v>220</v>
      </c>
      <c r="B10" s="450">
        <f>'[3]Állandó bérlők'!AK16+[3]KSK!V11+'[3]Egyéb bérlők(csarnok,iskola)'!AZ31</f>
        <v>26</v>
      </c>
      <c r="C10" s="451">
        <f>'[3]Állandó bérlők'!AP16+[3]KSK!X11+'[3]Egyéb bérlők(csarnok,iskola)'!BA31</f>
        <v>189773</v>
      </c>
      <c r="D10" s="452">
        <f>'[3]Állandó bérlők'!AK15</f>
        <v>24</v>
      </c>
      <c r="E10" s="453">
        <f>'[3]Állandó bérlők'!AP15</f>
        <v>206250</v>
      </c>
      <c r="F10" s="454">
        <f>'[3]Egyéb bérlők(csarnok,iskola)'!AV31</f>
        <v>4</v>
      </c>
      <c r="G10" s="380">
        <f>'[3]Állandó bérlők'!AL16+[3]KSK!W11+'[3]Egyéb bérlők(csarnok,iskola)'!AX31</f>
        <v>43.5</v>
      </c>
      <c r="H10" s="456">
        <f>'[3]Állandó bérlők'!AQ16+[3]KSK!Y11+'[3]Egyéb bérlők(csarnok,iskola)'!AY31</f>
        <v>684062.5</v>
      </c>
      <c r="I10" s="456">
        <f>'[3]Állandó bérlők'!AL15</f>
        <v>72</v>
      </c>
      <c r="J10" s="457">
        <f>'[3]Állandó bérlők'!AQ15</f>
        <v>618750</v>
      </c>
      <c r="K10" s="458">
        <f>'[3]Egyéb bérlők(csarnok,iskola)'!AU31</f>
        <v>13</v>
      </c>
      <c r="L10" s="470">
        <f>'[3]Egyéb bérlők(csarnok,iskola)'!BB31</f>
        <v>0</v>
      </c>
      <c r="M10" s="471">
        <f>'[3]Egyéb bérlők(csarnok,iskola)'!BC31</f>
        <v>0</v>
      </c>
      <c r="N10" s="472">
        <f>'[3]Egyéb bérlők(csarnok,iskola)'!AW31</f>
        <v>8</v>
      </c>
      <c r="O10" s="473">
        <f>'[3]Állandó bérlők'!AN16</f>
        <v>48</v>
      </c>
      <c r="P10" s="463">
        <f>'[3]Állandó bérlők'!AO16</f>
        <v>55000</v>
      </c>
      <c r="Q10" s="464">
        <f t="shared" si="1"/>
        <v>112.5</v>
      </c>
      <c r="R10" s="465">
        <f t="shared" si="0"/>
        <v>739062.5</v>
      </c>
      <c r="S10" s="376"/>
      <c r="T10" s="372"/>
      <c r="U10" s="371"/>
      <c r="V10" s="377"/>
      <c r="W10" s="371"/>
      <c r="X10" s="373"/>
      <c r="Y10" s="376"/>
      <c r="Z10" s="372"/>
      <c r="AA10" s="466"/>
      <c r="AB10" s="381"/>
      <c r="AC10" s="382"/>
    </row>
    <row r="11" spans="1:29" ht="19" thickBot="1" x14ac:dyDescent="0.25">
      <c r="A11" s="309" t="s">
        <v>221</v>
      </c>
      <c r="B11" s="450">
        <f>'[3]Állandó bérlők'!AR16+[3]KSK!Z11+'[3]Egyéb bérlők(csarnok,iskola)'!BI31</f>
        <v>9</v>
      </c>
      <c r="C11" s="451">
        <f>'[3]Állandó bérlők'!AW16+[3]KSK!AB11+'[3]Egyéb bérlők(csarnok,iskola)'!BJ31</f>
        <v>64350</v>
      </c>
      <c r="D11" s="452">
        <f>'[3]Állandó bérlők'!AR15</f>
        <v>0</v>
      </c>
      <c r="E11" s="453">
        <f>'[3]Állandó bérlők'!AW15</f>
        <v>0</v>
      </c>
      <c r="F11" s="454">
        <f>'[3]Egyéb bérlők(csarnok,iskola)'!BE31</f>
        <v>0</v>
      </c>
      <c r="G11" s="375">
        <f>'[3]Állandó bérlők'!AS16+[3]KSK!AA11+'[3]Egyéb bérlők(csarnok,iskola)'!BH31</f>
        <v>1</v>
      </c>
      <c r="H11" s="456">
        <f>'[3]Állandó bérlők'!AX16+[3]KSK!AC11+'[3]Egyéb bérlők(csarnok,iskola)'!BH31</f>
        <v>20000</v>
      </c>
      <c r="I11" s="456">
        <f>'[3]Állandó bérlők'!AS15</f>
        <v>0</v>
      </c>
      <c r="J11" s="457">
        <f>'[3]Állandó bérlők'!AX15</f>
        <v>0</v>
      </c>
      <c r="K11" s="458">
        <f>'[3]Egyéb bérlők(csarnok,iskola)'!BD31</f>
        <v>0</v>
      </c>
      <c r="L11" s="467">
        <f>'[3]Egyéb bérlők(csarnok,iskola)'!BK31</f>
        <v>0</v>
      </c>
      <c r="M11" s="460">
        <f>'[3]Egyéb bérlők(csarnok,iskola)'!BL31</f>
        <v>0</v>
      </c>
      <c r="N11" s="461">
        <f>'[3]Egyéb bérlők(csarnok,iskola)'!BF31</f>
        <v>0</v>
      </c>
      <c r="O11" s="469">
        <f>'[3]Állandó bérlők'!AU16</f>
        <v>47</v>
      </c>
      <c r="P11" s="463">
        <f>'[3]Állandó bérlők'!AV16</f>
        <v>55000</v>
      </c>
      <c r="Q11" s="464">
        <f t="shared" si="1"/>
        <v>48</v>
      </c>
      <c r="R11" s="465">
        <f t="shared" si="0"/>
        <v>75000</v>
      </c>
      <c r="S11" s="376"/>
      <c r="T11" s="372"/>
      <c r="U11" s="371"/>
      <c r="V11" s="377"/>
      <c r="W11" s="371"/>
      <c r="X11" s="373"/>
      <c r="Y11" s="376"/>
      <c r="Z11" s="372"/>
      <c r="AA11" s="466"/>
      <c r="AB11" s="378"/>
      <c r="AC11" s="373"/>
    </row>
    <row r="12" spans="1:29" ht="19" thickBot="1" x14ac:dyDescent="0.25">
      <c r="A12" s="309" t="s">
        <v>222</v>
      </c>
      <c r="B12" s="450">
        <f>'[3]Állandó bérlők'!AY16+[3]KSK!AD11+'[3]Egyéb bérlők(csarnok,iskola)'!BR31</f>
        <v>7</v>
      </c>
      <c r="C12" s="451">
        <f>'[3]Állandó bérlők'!BD16+[3]KSK!AF11+'[3]Egyéb bérlők(csarnok,iskola)'!BS31</f>
        <v>50050</v>
      </c>
      <c r="D12" s="452">
        <f>'[3]Állandó bérlők'!AY15</f>
        <v>0</v>
      </c>
      <c r="E12" s="453">
        <f>'[3]Állandó bérlők'!BD15</f>
        <v>0</v>
      </c>
      <c r="F12" s="454">
        <f>'[3]Egyéb bérlők(csarnok,iskola)'!BN31</f>
        <v>0</v>
      </c>
      <c r="G12" s="455">
        <f>'[3]Állandó bérlők'!AZ16+[3]KSK!AE11+'[3]Egyéb bérlők(csarnok,iskola)'!BP31</f>
        <v>104.5</v>
      </c>
      <c r="H12" s="456">
        <f>'[3]Állandó bérlők'!BE16+[3]KSK!AG11+'[3]Egyéb bérlők(csarnok,iskola)'!BQ31</f>
        <v>1637187.5</v>
      </c>
      <c r="I12" s="456">
        <f>'[3]Állandó bérlők'!AZ15</f>
        <v>0</v>
      </c>
      <c r="J12" s="457">
        <f>'[3]Állandó bérlők'!BE15</f>
        <v>0</v>
      </c>
      <c r="K12" s="458">
        <f>'[3]Egyéb bérlők(csarnok,iskola)'!BM31</f>
        <v>0</v>
      </c>
      <c r="L12" s="467">
        <f>'[3]Egyéb bérlők(csarnok,iskola)'!BT31</f>
        <v>8</v>
      </c>
      <c r="M12" s="460">
        <f>'[3]Egyéb bérlők(csarnok,iskola)'!BU31</f>
        <v>70000</v>
      </c>
      <c r="N12" s="461">
        <f>'[3]Egyéb bérlők(csarnok,iskola)'!BO31</f>
        <v>0</v>
      </c>
      <c r="O12" s="469">
        <f>'[3]Állandó bérlők'!BB16</f>
        <v>49</v>
      </c>
      <c r="P12" s="463">
        <f>'[3]Állandó bérlők'!BC16</f>
        <v>55000</v>
      </c>
      <c r="Q12" s="464">
        <f t="shared" si="1"/>
        <v>161.5</v>
      </c>
      <c r="R12" s="465">
        <f t="shared" si="0"/>
        <v>1762187.5</v>
      </c>
      <c r="S12" s="376"/>
      <c r="T12" s="372"/>
      <c r="U12" s="379"/>
      <c r="V12" s="377"/>
      <c r="W12" s="376"/>
      <c r="X12" s="373"/>
      <c r="Y12" s="376"/>
      <c r="Z12" s="372"/>
      <c r="AA12" s="466"/>
      <c r="AB12" s="378"/>
      <c r="AC12" s="373"/>
    </row>
    <row r="13" spans="1:29" ht="19" thickBot="1" x14ac:dyDescent="0.25">
      <c r="A13" s="309" t="s">
        <v>223</v>
      </c>
      <c r="B13" s="450">
        <f>'[3]Állandó bérlők'!BF16+[3]KSK!AH11+'[3]Egyéb bérlők(csarnok,iskola)'!CA31+[3]MFC!B4</f>
        <v>52.75</v>
      </c>
      <c r="C13" s="451">
        <f>'[3]Állandó bérlők'!BK16+[3]KSK!AJ11+'[3]Egyéb bérlők(csarnok,iskola)'!CB31+[3]MFC!D4</f>
        <v>468274.5</v>
      </c>
      <c r="D13" s="452">
        <f>'[3]Állandó bérlők'!BF15</f>
        <v>42</v>
      </c>
      <c r="E13" s="453">
        <f>'[3]Állandó bérlők'!BK15</f>
        <v>360937.5</v>
      </c>
      <c r="F13" s="454">
        <f>'[3]Egyéb bérlők(csarnok,iskola)'!BW31</f>
        <v>8</v>
      </c>
      <c r="G13" s="375">
        <f>'[3]Állandó bérlők'!BG16+[3]KSK!AI11+'[3]Egyéb bérlők(csarnok,iskola)'!BY31</f>
        <v>152.80000000000001</v>
      </c>
      <c r="H13" s="456">
        <f>'[3]Állandó bérlők'!BL16+[3]KSK!AK11+'[3]Egyéb bérlők(csarnok,iskola)'!BZ31</f>
        <v>2340312.5</v>
      </c>
      <c r="I13" s="456">
        <f>'[3]Állandó bérlők'!BG15</f>
        <v>126</v>
      </c>
      <c r="J13" s="457">
        <f>'[3]Állandó bérlők'!BL15</f>
        <v>1082812.5</v>
      </c>
      <c r="K13" s="458">
        <f>'[3]Egyéb bérlők(csarnok,iskola)'!BV31</f>
        <v>0</v>
      </c>
      <c r="L13" s="467">
        <f>'[3]Egyéb bérlők(csarnok,iskola)'!CC31</f>
        <v>24</v>
      </c>
      <c r="M13" s="460">
        <f>'[3]Egyéb bérlők(csarnok,iskola)'!CD31</f>
        <v>125000</v>
      </c>
      <c r="N13" s="461">
        <f>'[3]Egyéb bérlők(csarnok,iskola)'!BX31</f>
        <v>12</v>
      </c>
      <c r="O13" s="469">
        <f>'[3]Állandó bérlők'!BI16</f>
        <v>44</v>
      </c>
      <c r="P13" s="463">
        <f>'[3]Állandó bérlők'!BJ16</f>
        <v>55000</v>
      </c>
      <c r="Q13" s="464">
        <f t="shared" si="1"/>
        <v>232.8</v>
      </c>
      <c r="R13" s="465">
        <f t="shared" si="0"/>
        <v>2520312.5</v>
      </c>
      <c r="S13" s="379"/>
      <c r="T13" s="372"/>
      <c r="U13" s="379"/>
      <c r="V13" s="377"/>
      <c r="W13" s="376"/>
      <c r="X13" s="383"/>
      <c r="Y13" s="376"/>
      <c r="Z13" s="372"/>
      <c r="AA13" s="466"/>
      <c r="AB13" s="378"/>
      <c r="AC13" s="373"/>
    </row>
    <row r="14" spans="1:29" ht="19" thickBot="1" x14ac:dyDescent="0.25">
      <c r="A14" s="309" t="s">
        <v>224</v>
      </c>
      <c r="B14" s="450">
        <f>'[3]Állandó bérlők'!BF17+[3]KSK!AH12+'[3]Egyéb bérlők(csarnok,iskola)'!CA32+[3]MFC!B5</f>
        <v>0</v>
      </c>
      <c r="C14" s="451">
        <f>'[3]Állandó bérlők'!BR16+[3]KSK!AN11+'[3]Egyéb bérlők(csarnok,iskola)'!CK31</f>
        <v>489589</v>
      </c>
      <c r="D14" s="452">
        <f>'[3]Állandó bérlők'!BM15</f>
        <v>38</v>
      </c>
      <c r="E14" s="453">
        <f>'[3]Állandó bérlők'!BR15</f>
        <v>326562.5</v>
      </c>
      <c r="F14" s="454">
        <f>'[3]Egyéb bérlők(csarnok,iskola)'!CF31</f>
        <v>0</v>
      </c>
      <c r="G14" s="375">
        <f>'[3]Állandó bérlők'!BN16+[3]KSK!AM11+'[3]Egyéb bérlők(csarnok,iskola)'!CH31</f>
        <v>138</v>
      </c>
      <c r="H14" s="456">
        <f>'[3]Állandó bérlők'!BS16+[3]KSK!AO11+'[3]Egyéb bérlők(csarnok,iskola)'!CI31</f>
        <v>2369362.5</v>
      </c>
      <c r="I14" s="456">
        <f>'[3]Állandó bérlők'!BN15</f>
        <v>114</v>
      </c>
      <c r="J14" s="457">
        <f>'[3]Állandó bérlők'!BS15</f>
        <v>979687.5</v>
      </c>
      <c r="K14" s="458">
        <f>'[3]Egyéb bérlők(csarnok,iskola)'!CE31</f>
        <v>0</v>
      </c>
      <c r="L14" s="467">
        <f>'[3]Egyéb bérlők(csarnok,iskola)'!CL31</f>
        <v>8</v>
      </c>
      <c r="M14" s="460">
        <f>'[3]Egyéb bérlők(csarnok,iskola)'!CM31</f>
        <v>50000</v>
      </c>
      <c r="N14" s="461">
        <f>'[3]Egyéb bérlők(csarnok,iskola)'!CG31</f>
        <v>0</v>
      </c>
      <c r="O14" s="469">
        <f>'[3]Állandó bérlők'!BP16</f>
        <v>48</v>
      </c>
      <c r="P14" s="463">
        <f>'[3]Állandó bérlők'!BQ16</f>
        <v>74500</v>
      </c>
      <c r="Q14" s="464">
        <f t="shared" si="1"/>
        <v>194</v>
      </c>
      <c r="R14" s="465">
        <f t="shared" si="0"/>
        <v>2493862.5</v>
      </c>
      <c r="S14" s="376"/>
      <c r="T14" s="372"/>
      <c r="U14" s="379"/>
      <c r="V14" s="377"/>
      <c r="W14" s="376"/>
      <c r="X14" s="383"/>
      <c r="Y14" s="376"/>
      <c r="Z14" s="372"/>
      <c r="AA14" s="466"/>
      <c r="AB14" s="374"/>
      <c r="AC14" s="372"/>
    </row>
    <row r="15" spans="1:29" ht="19" thickBot="1" x14ac:dyDescent="0.25">
      <c r="A15" s="309" t="s">
        <v>225</v>
      </c>
      <c r="B15" s="450">
        <f>'[3]Állandó bérlők'!BF18+[3]KSK!AH13+'[3]Egyéb bérlők(csarnok,iskola)'!CA33+[3]MFC!B6</f>
        <v>0</v>
      </c>
      <c r="C15" s="451">
        <f>'[3]Állandó bérlők'!BY16+[3]KSK!AR11+'[3]Egyéb bérlők(csarnok,iskola)'!CT31</f>
        <v>677100</v>
      </c>
      <c r="D15" s="452">
        <f>'[3]Állandó bérlők'!BT15</f>
        <v>42</v>
      </c>
      <c r="E15" s="453">
        <f>'[3]Állandó bérlők'!BY15</f>
        <v>360937.5</v>
      </c>
      <c r="F15" s="454">
        <f>'[3]Egyéb bérlők(csarnok,iskola)'!CO31</f>
        <v>0</v>
      </c>
      <c r="G15" s="375">
        <f>'[3]Állandó bérlők'!BU16+[3]KSK!AQ11+'[3]Egyéb bérlők(csarnok,iskola)'!CQ31</f>
        <v>152.5</v>
      </c>
      <c r="H15" s="456">
        <f>'[3]Állandó bérlők'!BZ16+[3]KSK!AS11+'[3]Egyéb bérlők(csarnok,iskola)'!CT31</f>
        <v>2139062.5</v>
      </c>
      <c r="I15" s="456">
        <f>'[3]Állandó bérlők'!BU15</f>
        <v>126</v>
      </c>
      <c r="J15" s="457">
        <f>'[3]Állandó bérlők'!BZ15</f>
        <v>1082812.5</v>
      </c>
      <c r="K15" s="458">
        <f>'[3]Egyéb bérlők(csarnok,iskola)'!CN31</f>
        <v>12</v>
      </c>
      <c r="L15" s="467">
        <f>'[3]Egyéb bérlők(csarnok,iskola)'!CU31</f>
        <v>9</v>
      </c>
      <c r="M15" s="460">
        <f>'[3]Egyéb bérlők(csarnok,iskola)'!CV31</f>
        <v>55000</v>
      </c>
      <c r="N15" s="461">
        <f>'[3]Egyéb bérlők(csarnok,iskola)'!CP31</f>
        <v>0</v>
      </c>
      <c r="O15" s="469">
        <f>'[3]Állandó bérlők'!BW16</f>
        <v>48</v>
      </c>
      <c r="P15" s="463">
        <f>'[3]Állandó bérlők'!BX16</f>
        <v>74500</v>
      </c>
      <c r="Q15" s="464">
        <f t="shared" si="1"/>
        <v>221.5</v>
      </c>
      <c r="R15" s="465">
        <f t="shared" si="0"/>
        <v>2268562.5</v>
      </c>
      <c r="S15" s="376"/>
      <c r="T15" s="372"/>
      <c r="U15" s="379"/>
      <c r="V15" s="377"/>
      <c r="W15" s="376"/>
      <c r="X15" s="377"/>
      <c r="Y15" s="376"/>
      <c r="Z15" s="372"/>
      <c r="AA15" s="466"/>
      <c r="AB15" s="374"/>
      <c r="AC15" s="372"/>
    </row>
    <row r="16" spans="1:29" ht="18" x14ac:dyDescent="0.2">
      <c r="A16" s="309" t="s">
        <v>226</v>
      </c>
      <c r="B16" s="450">
        <f>'[3]Állandó bérlők'!BF19+[3]KSK!AH14+'[3]Egyéb bérlők(csarnok,iskola)'!CA34+[3]MFC!B7</f>
        <v>0</v>
      </c>
      <c r="C16" s="451">
        <f>'[3]Állandó bérlők'!CF16+[3]KSK!AV11+'[3]Egyéb bérlők(csarnok,iskola)'!DC31</f>
        <v>246187.5</v>
      </c>
      <c r="D16" s="452">
        <f>'[3]Állandó bérlők'!CA15</f>
        <v>30</v>
      </c>
      <c r="E16" s="453">
        <f>'[3]Állandó bérlők'!CF15</f>
        <v>257812.5</v>
      </c>
      <c r="F16" s="454">
        <f>'[3]Egyéb bérlők(csarnok,iskola)'!CX31</f>
        <v>8</v>
      </c>
      <c r="G16" s="375">
        <f>'[3]Állandó bérlők'!CB16+[3]KSK!AU11+'[3]Egyéb bérlők(csarnok,iskola)'!CZ31</f>
        <v>106.25</v>
      </c>
      <c r="H16" s="456">
        <f>'[3]Állandó bérlők'!CG16+[3]KSK!AW11+'[3]Egyéb bérlők(csarnok,iskola)'!DA31</f>
        <v>1954531.25</v>
      </c>
      <c r="I16" s="456">
        <f>'[3]Állandó bérlők'!CB15</f>
        <v>90</v>
      </c>
      <c r="J16" s="457">
        <f>'[3]Állandó bérlők'!CG15</f>
        <v>773437.5</v>
      </c>
      <c r="K16" s="458">
        <f>'[3]Egyéb bérlők(csarnok,iskola)'!CW31</f>
        <v>0</v>
      </c>
      <c r="L16" s="467">
        <f>'[3]Egyéb bérlők(csarnok,iskola)'!DD31</f>
        <v>9</v>
      </c>
      <c r="M16" s="460">
        <f>'[3]Egyéb bérlők(csarnok,iskola)'!DE31</f>
        <v>55000</v>
      </c>
      <c r="N16" s="461">
        <f>'[3]Egyéb bérlők(csarnok,iskola)'!CY31</f>
        <v>0</v>
      </c>
      <c r="O16" s="469">
        <f>'[3]Állandó bérlők'!CD16</f>
        <v>38.25</v>
      </c>
      <c r="P16" s="463">
        <f>'[3]Állandó bérlők'!CE16</f>
        <v>69625</v>
      </c>
      <c r="Q16" s="464">
        <f t="shared" si="1"/>
        <v>153.5</v>
      </c>
      <c r="R16" s="465">
        <f t="shared" si="0"/>
        <v>2079156.25</v>
      </c>
      <c r="S16" s="376"/>
      <c r="T16" s="372"/>
      <c r="U16" s="379"/>
      <c r="V16" s="377"/>
      <c r="W16" s="376"/>
      <c r="X16" s="372"/>
      <c r="Y16" s="376"/>
      <c r="Z16" s="372"/>
      <c r="AA16" s="466"/>
      <c r="AB16" s="374"/>
      <c r="AC16" s="372"/>
    </row>
    <row r="17" spans="1:29" ht="19" thickBot="1" x14ac:dyDescent="0.25">
      <c r="A17" s="309" t="s">
        <v>135</v>
      </c>
      <c r="B17" s="474">
        <f>SUM(B5:B16)</f>
        <v>399</v>
      </c>
      <c r="C17" s="475">
        <f>SUM(C5:C16)</f>
        <v>4753922.5</v>
      </c>
      <c r="D17" s="476">
        <f t="shared" ref="D17:S17" si="2">SUM(D5:D16)</f>
        <v>358</v>
      </c>
      <c r="E17" s="477">
        <f>SUM(E5:E16)</f>
        <v>3020312.5</v>
      </c>
      <c r="F17" s="478">
        <f>SUM(F5:F16)</f>
        <v>24</v>
      </c>
      <c r="G17" s="384">
        <f t="shared" si="2"/>
        <v>1462.55</v>
      </c>
      <c r="H17" s="479">
        <f t="shared" si="2"/>
        <v>23851768.25</v>
      </c>
      <c r="I17" s="384">
        <f t="shared" si="2"/>
        <v>1074</v>
      </c>
      <c r="J17" s="479">
        <f t="shared" si="2"/>
        <v>9060937.5</v>
      </c>
      <c r="K17" s="480">
        <f t="shared" si="2"/>
        <v>35</v>
      </c>
      <c r="L17" s="481">
        <f t="shared" si="2"/>
        <v>78</v>
      </c>
      <c r="M17" s="482">
        <f t="shared" si="2"/>
        <v>475000</v>
      </c>
      <c r="N17" s="483">
        <f>SUM(N5:N16)</f>
        <v>26</v>
      </c>
      <c r="O17" s="484">
        <f t="shared" si="2"/>
        <v>543.25</v>
      </c>
      <c r="P17" s="485">
        <f t="shared" si="2"/>
        <v>752625</v>
      </c>
      <c r="Q17" s="486">
        <f t="shared" si="2"/>
        <v>2144.8000000000002</v>
      </c>
      <c r="R17" s="487">
        <f t="shared" si="2"/>
        <v>25079393.25</v>
      </c>
      <c r="S17" s="385">
        <f t="shared" si="2"/>
        <v>56.5</v>
      </c>
      <c r="T17" s="386">
        <f>SUM(T5:T16)</f>
        <v>570379</v>
      </c>
      <c r="U17" s="385">
        <f t="shared" ref="U17" si="3">SUM(U5:U16)</f>
        <v>51.5</v>
      </c>
      <c r="V17" s="387">
        <f>SUM(V5:V16)</f>
        <v>1099764.5</v>
      </c>
      <c r="W17" s="488">
        <f t="shared" ref="W17" si="4">SUM(W5:W16)</f>
        <v>0</v>
      </c>
      <c r="X17" s="387">
        <f>SUM(X5:X16)</f>
        <v>0</v>
      </c>
      <c r="Y17" s="385">
        <f t="shared" ref="Y17" si="5">SUM(Y5:Y16)</f>
        <v>22.5</v>
      </c>
      <c r="Z17" s="386">
        <f>SUM(Z5:Z16)</f>
        <v>1110954.5</v>
      </c>
      <c r="AA17" s="489">
        <f>SUM(AA5:AA16)</f>
        <v>2781098</v>
      </c>
      <c r="AB17" s="388">
        <f>SUM(AB5:AB16)</f>
        <v>25</v>
      </c>
      <c r="AC17" s="386">
        <f>SUM(AC5:AC16)</f>
        <v>178750</v>
      </c>
    </row>
    <row r="18" spans="1:29" x14ac:dyDescent="0.2">
      <c r="B18" s="490"/>
      <c r="C18" s="490"/>
      <c r="D18" s="490"/>
      <c r="E18" s="490"/>
      <c r="F18" s="490"/>
      <c r="G18" s="491"/>
      <c r="H18" s="491"/>
      <c r="I18" s="491"/>
      <c r="J18" s="491"/>
      <c r="K18" s="491"/>
      <c r="L18" s="492"/>
      <c r="M18" s="492"/>
      <c r="N18" s="492"/>
    </row>
    <row r="19" spans="1:29" x14ac:dyDescent="0.2">
      <c r="B19" s="490"/>
      <c r="C19" s="490"/>
      <c r="D19" s="490"/>
      <c r="E19" s="490"/>
      <c r="F19" s="490"/>
      <c r="G19" s="491"/>
      <c r="H19" s="491"/>
      <c r="I19" s="491"/>
      <c r="J19" s="491"/>
      <c r="K19" s="491"/>
      <c r="L19" s="492"/>
      <c r="M19" s="492"/>
      <c r="N19" s="492"/>
    </row>
    <row r="20" spans="1:29" ht="19" x14ac:dyDescent="0.25">
      <c r="A20" s="493" t="s">
        <v>135</v>
      </c>
      <c r="B20" s="494" t="s">
        <v>375</v>
      </c>
      <c r="C20" s="495">
        <f>B17+D17+F17</f>
        <v>781</v>
      </c>
      <c r="D20" s="494" t="s">
        <v>376</v>
      </c>
      <c r="E20" s="496">
        <f>C17+E17</f>
        <v>7774235</v>
      </c>
      <c r="F20" s="490"/>
      <c r="G20" s="497" t="s">
        <v>375</v>
      </c>
      <c r="H20" s="498">
        <f>G17+I17+K17</f>
        <v>2571.5500000000002</v>
      </c>
      <c r="I20" s="497" t="s">
        <v>376</v>
      </c>
      <c r="J20" s="498">
        <f>H17+J17</f>
        <v>32912705.75</v>
      </c>
      <c r="K20" s="491"/>
      <c r="L20" s="499" t="s">
        <v>375</v>
      </c>
      <c r="M20" s="500">
        <f>L17+N17</f>
        <v>104</v>
      </c>
      <c r="N20" s="501">
        <f>M17</f>
        <v>475000</v>
      </c>
    </row>
  </sheetData>
  <mergeCells count="33">
    <mergeCell ref="AB3:AB4"/>
    <mergeCell ref="AC3:AC4"/>
    <mergeCell ref="U3:U4"/>
    <mergeCell ref="V3:V4"/>
    <mergeCell ref="W3:W4"/>
    <mergeCell ref="X3:X4"/>
    <mergeCell ref="Y3:Y4"/>
    <mergeCell ref="AB2:AC2"/>
    <mergeCell ref="B3:B4"/>
    <mergeCell ref="C3:C4"/>
    <mergeCell ref="D3:E3"/>
    <mergeCell ref="F3:F4"/>
    <mergeCell ref="G3:G4"/>
    <mergeCell ref="H3:H4"/>
    <mergeCell ref="I3:J3"/>
    <mergeCell ref="K3:K4"/>
    <mergeCell ref="L3:L4"/>
    <mergeCell ref="M3:M4"/>
    <mergeCell ref="N3:N4"/>
    <mergeCell ref="O3:O4"/>
    <mergeCell ref="P3:P4"/>
    <mergeCell ref="Q3:Q4"/>
    <mergeCell ref="R3:R4"/>
    <mergeCell ref="Q2:R2"/>
    <mergeCell ref="S2:AA2"/>
    <mergeCell ref="S3:S4"/>
    <mergeCell ref="A2:A4"/>
    <mergeCell ref="B2:F2"/>
    <mergeCell ref="G2:K2"/>
    <mergeCell ref="L2:N2"/>
    <mergeCell ref="O2:P2"/>
    <mergeCell ref="Z3:Z4"/>
    <mergeCell ref="AA3:AA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Pénzügyi terv</vt:lpstr>
      <vt:lpstr>Fejlesztési részletező</vt:lpstr>
      <vt:lpstr>Konyha</vt:lpstr>
      <vt:lpstr>Település üzemeltetés</vt:lpstr>
      <vt:lpstr>Temető</vt:lpstr>
      <vt:lpstr>Sportlétesítmények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András</dc:creator>
  <cp:lastModifiedBy>Monon Office</cp:lastModifiedBy>
  <cp:lastPrinted>2021-01-22T08:13:04Z</cp:lastPrinted>
  <dcterms:created xsi:type="dcterms:W3CDTF">2018-01-03T12:55:56Z</dcterms:created>
  <dcterms:modified xsi:type="dcterms:W3CDTF">2023-11-16T12:58:23Z</dcterms:modified>
</cp:coreProperties>
</file>