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loterjesztesek\2020\6_2020_03_09\"/>
    </mc:Choice>
  </mc:AlternateContent>
  <bookViews>
    <workbookView xWindow="0" yWindow="0" windowWidth="20490" windowHeight="8445" tabRatio="571" activeTab="5"/>
  </bookViews>
  <sheets>
    <sheet name="Pénzügyi terv" sheetId="15" r:id="rId1"/>
    <sheet name="Fejlesztési részletező" sheetId="16" r:id="rId2"/>
    <sheet name="Konyha" sheetId="17" r:id="rId3"/>
    <sheet name="Település üzemeltetés" sheetId="18" r:id="rId4"/>
    <sheet name="Temető" sheetId="19" r:id="rId5"/>
    <sheet name="Sportlétesítmények" sheetId="20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O26" i="20" l="1"/>
  <c r="P26" i="20"/>
  <c r="N26" i="20"/>
  <c r="O23" i="20"/>
  <c r="P23" i="20"/>
  <c r="N23" i="20"/>
  <c r="O21" i="20"/>
  <c r="N21" i="20"/>
  <c r="O20" i="20"/>
  <c r="N20" i="20"/>
  <c r="G93" i="15"/>
  <c r="C93" i="15"/>
  <c r="N15" i="20"/>
  <c r="O15" i="20"/>
  <c r="G43" i="18" l="1"/>
  <c r="G27" i="18"/>
  <c r="G11" i="18"/>
  <c r="H57" i="18"/>
  <c r="M57" i="18"/>
  <c r="F6" i="18"/>
  <c r="H6" i="18" s="1"/>
  <c r="F44" i="18"/>
  <c r="H44" i="18" s="1"/>
  <c r="K44" i="18"/>
  <c r="M44" i="18" s="1"/>
  <c r="E62" i="18"/>
  <c r="G15" i="15" l="1"/>
  <c r="U95" i="15" l="1"/>
  <c r="L11" i="16" l="1"/>
  <c r="K27" i="16"/>
  <c r="K11" i="16"/>
  <c r="P19" i="20" l="1"/>
  <c r="O18" i="20"/>
  <c r="O19" i="20" s="1"/>
  <c r="N18" i="20"/>
  <c r="N19" i="20" s="1"/>
  <c r="P17" i="20"/>
  <c r="N17" i="20"/>
  <c r="I16" i="20"/>
  <c r="G16" i="20"/>
  <c r="F16" i="20"/>
  <c r="E16" i="20"/>
  <c r="D16" i="20"/>
  <c r="C16" i="20"/>
  <c r="B16" i="20"/>
  <c r="O17" i="20"/>
  <c r="H15" i="20"/>
  <c r="H14" i="20"/>
  <c r="P13" i="20"/>
  <c r="O13" i="20"/>
  <c r="N13" i="20"/>
  <c r="H13" i="20"/>
  <c r="H12" i="20"/>
  <c r="H11" i="20"/>
  <c r="H10" i="20"/>
  <c r="H9" i="20"/>
  <c r="H8" i="20"/>
  <c r="H7" i="20"/>
  <c r="P6" i="20"/>
  <c r="O6" i="20"/>
  <c r="N6" i="20"/>
  <c r="H6" i="20"/>
  <c r="P5" i="20"/>
  <c r="O5" i="20"/>
  <c r="N5" i="20"/>
  <c r="H5" i="20"/>
  <c r="H4" i="20"/>
  <c r="H16" i="20" l="1"/>
  <c r="U127" i="15"/>
  <c r="S127" i="15"/>
  <c r="Q127" i="15"/>
  <c r="O127" i="15"/>
  <c r="M127" i="15"/>
  <c r="K127" i="15"/>
  <c r="G127" i="15"/>
  <c r="E127" i="15"/>
  <c r="C127" i="15"/>
  <c r="G41" i="18" l="1"/>
  <c r="G31" i="18"/>
  <c r="F45" i="18" l="1"/>
  <c r="H45" i="18" s="1"/>
  <c r="G16" i="19"/>
  <c r="G15" i="19"/>
  <c r="G14" i="19"/>
  <c r="G13" i="19"/>
  <c r="G12" i="19"/>
  <c r="G11" i="19"/>
  <c r="G10" i="19"/>
  <c r="G9" i="19"/>
  <c r="G8" i="19"/>
  <c r="G7" i="19"/>
  <c r="G6" i="19"/>
  <c r="F17" i="19"/>
  <c r="G4" i="19"/>
  <c r="G3" i="19"/>
  <c r="G2" i="19"/>
  <c r="H16" i="19"/>
  <c r="K16" i="19" s="1"/>
  <c r="H15" i="19"/>
  <c r="K15" i="19" s="1"/>
  <c r="J14" i="19"/>
  <c r="H14" i="19"/>
  <c r="K14" i="19" s="1"/>
  <c r="K13" i="19"/>
  <c r="H12" i="19"/>
  <c r="K12" i="19" s="1"/>
  <c r="H11" i="19"/>
  <c r="K11" i="19" s="1"/>
  <c r="K10" i="19"/>
  <c r="K9" i="19"/>
  <c r="H8" i="19"/>
  <c r="K8" i="19" s="1"/>
  <c r="K7" i="19"/>
  <c r="H7" i="19"/>
  <c r="H6" i="19"/>
  <c r="K6" i="19" s="1"/>
  <c r="J5" i="19"/>
  <c r="J17" i="19" s="1"/>
  <c r="H5" i="19"/>
  <c r="K4" i="19"/>
  <c r="K3" i="19"/>
  <c r="H3" i="19"/>
  <c r="H2" i="19"/>
  <c r="K2" i="19" s="1"/>
  <c r="F63" i="18"/>
  <c r="H63" i="18" s="1"/>
  <c r="F62" i="18"/>
  <c r="H62" i="18" s="1"/>
  <c r="F60" i="18"/>
  <c r="H60" i="18" s="1"/>
  <c r="F59" i="18"/>
  <c r="H59" i="18" s="1"/>
  <c r="F58" i="18"/>
  <c r="H58" i="18" s="1"/>
  <c r="F56" i="18"/>
  <c r="G61" i="18"/>
  <c r="F55" i="18"/>
  <c r="F54" i="18"/>
  <c r="F52" i="18"/>
  <c r="H52" i="18" s="1"/>
  <c r="G53" i="18"/>
  <c r="F51" i="18"/>
  <c r="F50" i="18"/>
  <c r="F49" i="18"/>
  <c r="H49" i="18" s="1"/>
  <c r="F47" i="18"/>
  <c r="H47" i="18" s="1"/>
  <c r="F46" i="18"/>
  <c r="H46" i="18" s="1"/>
  <c r="F43" i="18"/>
  <c r="F42" i="18"/>
  <c r="F40" i="18"/>
  <c r="H40" i="18" s="1"/>
  <c r="F39" i="18"/>
  <c r="H39" i="18" s="1"/>
  <c r="F38" i="18"/>
  <c r="H38" i="18" s="1"/>
  <c r="G48" i="18"/>
  <c r="F37" i="18"/>
  <c r="F34" i="18"/>
  <c r="F33" i="18"/>
  <c r="H33" i="18" s="1"/>
  <c r="F32" i="18"/>
  <c r="F30" i="18"/>
  <c r="H30" i="18" s="1"/>
  <c r="G29" i="18"/>
  <c r="F29" i="18"/>
  <c r="F28" i="18"/>
  <c r="H28" i="18" s="1"/>
  <c r="D27" i="18"/>
  <c r="F27" i="18" s="1"/>
  <c r="F26" i="18"/>
  <c r="F24" i="18"/>
  <c r="H24" i="18" s="1"/>
  <c r="F22" i="18"/>
  <c r="H22" i="18" s="1"/>
  <c r="F21" i="18"/>
  <c r="H21" i="18" s="1"/>
  <c r="F20" i="18"/>
  <c r="G19" i="18"/>
  <c r="G7" i="18"/>
  <c r="F18" i="18"/>
  <c r="H18" i="18" s="1"/>
  <c r="H17" i="18"/>
  <c r="F16" i="18"/>
  <c r="H16" i="18" s="1"/>
  <c r="F15" i="18"/>
  <c r="H15" i="18" s="1"/>
  <c r="F14" i="18"/>
  <c r="H14" i="18" s="1"/>
  <c r="F13" i="18"/>
  <c r="H13" i="18" s="1"/>
  <c r="F12" i="18"/>
  <c r="H12" i="18" s="1"/>
  <c r="F11" i="18"/>
  <c r="H11" i="18" s="1"/>
  <c r="F10" i="18"/>
  <c r="H10" i="18" s="1"/>
  <c r="F9" i="18"/>
  <c r="F8" i="18"/>
  <c r="D5" i="18"/>
  <c r="F5" i="18" s="1"/>
  <c r="H5" i="18" s="1"/>
  <c r="F4" i="18"/>
  <c r="H4" i="18" s="1"/>
  <c r="F3" i="18"/>
  <c r="G2" i="18"/>
  <c r="L63" i="18"/>
  <c r="I63" i="18"/>
  <c r="K63" i="18" s="1"/>
  <c r="I62" i="18"/>
  <c r="K62" i="18" s="1"/>
  <c r="M62" i="18" s="1"/>
  <c r="K60" i="18"/>
  <c r="M60" i="18" s="1"/>
  <c r="I59" i="18"/>
  <c r="K59" i="18" s="1"/>
  <c r="M59" i="18" s="1"/>
  <c r="L58" i="18"/>
  <c r="I58" i="18"/>
  <c r="K58" i="18" s="1"/>
  <c r="L56" i="18"/>
  <c r="I56" i="18"/>
  <c r="K56" i="18" s="1"/>
  <c r="L55" i="18"/>
  <c r="I55" i="18"/>
  <c r="K55" i="18" s="1"/>
  <c r="I54" i="18"/>
  <c r="K54" i="18" s="1"/>
  <c r="I52" i="18"/>
  <c r="K52" i="18" s="1"/>
  <c r="M52" i="18" s="1"/>
  <c r="L51" i="18"/>
  <c r="L53" i="18" s="1"/>
  <c r="I51" i="18"/>
  <c r="K51" i="18" s="1"/>
  <c r="I50" i="18"/>
  <c r="K50" i="18" s="1"/>
  <c r="M50" i="18" s="1"/>
  <c r="I49" i="18"/>
  <c r="K49" i="18" s="1"/>
  <c r="L47" i="18"/>
  <c r="I47" i="18"/>
  <c r="K47" i="18" s="1"/>
  <c r="I46" i="18"/>
  <c r="K46" i="18" s="1"/>
  <c r="M46" i="18" s="1"/>
  <c r="J43" i="18"/>
  <c r="K43" i="18" s="1"/>
  <c r="K42" i="18"/>
  <c r="M42" i="18" s="1"/>
  <c r="I40" i="18"/>
  <c r="K40" i="18" s="1"/>
  <c r="M40" i="18" s="1"/>
  <c r="I39" i="18"/>
  <c r="K39" i="18" s="1"/>
  <c r="M39" i="18" s="1"/>
  <c r="I38" i="18"/>
  <c r="K38" i="18" s="1"/>
  <c r="M38" i="18" s="1"/>
  <c r="L37" i="18"/>
  <c r="L48" i="18" s="1"/>
  <c r="I37" i="18"/>
  <c r="K37" i="18" s="1"/>
  <c r="L34" i="18"/>
  <c r="I34" i="18"/>
  <c r="K34" i="18" s="1"/>
  <c r="I33" i="18"/>
  <c r="K33" i="18" s="1"/>
  <c r="K32" i="18"/>
  <c r="M32" i="18" s="1"/>
  <c r="I30" i="18"/>
  <c r="K30" i="18" s="1"/>
  <c r="M30" i="18" s="1"/>
  <c r="L29" i="18"/>
  <c r="I29" i="18"/>
  <c r="K29" i="18" s="1"/>
  <c r="I28" i="18"/>
  <c r="K28" i="18" s="1"/>
  <c r="M28" i="18" s="1"/>
  <c r="L27" i="18"/>
  <c r="I27" i="18"/>
  <c r="K27" i="18" s="1"/>
  <c r="I26" i="18"/>
  <c r="K26" i="18" s="1"/>
  <c r="K24" i="18"/>
  <c r="M24" i="18" s="1"/>
  <c r="I22" i="18"/>
  <c r="K22" i="18" s="1"/>
  <c r="M22" i="18" s="1"/>
  <c r="I21" i="18"/>
  <c r="K21" i="18" s="1"/>
  <c r="M21" i="18" s="1"/>
  <c r="I20" i="18"/>
  <c r="K20" i="18" s="1"/>
  <c r="L19" i="18"/>
  <c r="L18" i="18"/>
  <c r="I18" i="18"/>
  <c r="K18" i="18" s="1"/>
  <c r="L17" i="18"/>
  <c r="M17" i="18" s="1"/>
  <c r="I16" i="18"/>
  <c r="K16" i="18" s="1"/>
  <c r="M16" i="18" s="1"/>
  <c r="I15" i="18"/>
  <c r="K15" i="18" s="1"/>
  <c r="M15" i="18" s="1"/>
  <c r="K14" i="18"/>
  <c r="M14" i="18" s="1"/>
  <c r="I13" i="18"/>
  <c r="K13" i="18" s="1"/>
  <c r="M13" i="18" s="1"/>
  <c r="I12" i="18"/>
  <c r="K12" i="18" s="1"/>
  <c r="M12" i="18" s="1"/>
  <c r="K11" i="18"/>
  <c r="M11" i="18" s="1"/>
  <c r="K10" i="18"/>
  <c r="M10" i="18" s="1"/>
  <c r="I9" i="18"/>
  <c r="K9" i="18" s="1"/>
  <c r="M9" i="18" s="1"/>
  <c r="I8" i="18"/>
  <c r="K8" i="18" s="1"/>
  <c r="I6" i="18"/>
  <c r="K6" i="18" s="1"/>
  <c r="M6" i="18" s="1"/>
  <c r="I5" i="18"/>
  <c r="K5" i="18" s="1"/>
  <c r="M5" i="18" s="1"/>
  <c r="I4" i="18"/>
  <c r="K4" i="18" s="1"/>
  <c r="M4" i="18" s="1"/>
  <c r="I3" i="18"/>
  <c r="K3" i="18" s="1"/>
  <c r="L2" i="18"/>
  <c r="F25" i="18" l="1"/>
  <c r="M56" i="18"/>
  <c r="H8" i="18"/>
  <c r="F7" i="18"/>
  <c r="H7" i="18" s="1"/>
  <c r="H32" i="18"/>
  <c r="F31" i="18"/>
  <c r="H31" i="18" s="1"/>
  <c r="H42" i="18"/>
  <c r="F41" i="18"/>
  <c r="F48" i="18" s="1"/>
  <c r="F61" i="18"/>
  <c r="L61" i="18"/>
  <c r="M58" i="18"/>
  <c r="F2" i="18"/>
  <c r="F19" i="18"/>
  <c r="H19" i="18" s="1"/>
  <c r="F53" i="18"/>
  <c r="K23" i="18"/>
  <c r="M23" i="18" s="1"/>
  <c r="H27" i="18"/>
  <c r="L25" i="18"/>
  <c r="M18" i="18"/>
  <c r="G25" i="18"/>
  <c r="G35" i="18" s="1"/>
  <c r="G64" i="18" s="1"/>
  <c r="M51" i="18"/>
  <c r="K2" i="18"/>
  <c r="M27" i="18"/>
  <c r="M34" i="18"/>
  <c r="M63" i="18"/>
  <c r="F23" i="18"/>
  <c r="H23" i="18" s="1"/>
  <c r="K19" i="18"/>
  <c r="M19" i="18" s="1"/>
  <c r="H55" i="18"/>
  <c r="M47" i="18"/>
  <c r="H29" i="18"/>
  <c r="H56" i="18"/>
  <c r="M29" i="18"/>
  <c r="H51" i="18"/>
  <c r="G5" i="19"/>
  <c r="G17" i="19" s="1"/>
  <c r="K17" i="19"/>
  <c r="K5" i="19"/>
  <c r="H3" i="18"/>
  <c r="H2" i="18" s="1"/>
  <c r="H26" i="18"/>
  <c r="H50" i="18"/>
  <c r="H9" i="18"/>
  <c r="H34" i="18"/>
  <c r="H43" i="18"/>
  <c r="H20" i="18"/>
  <c r="H37" i="18"/>
  <c r="H54" i="18"/>
  <c r="H61" i="18" s="1"/>
  <c r="K25" i="18"/>
  <c r="M25" i="18" s="1"/>
  <c r="M26" i="18"/>
  <c r="K41" i="18"/>
  <c r="M41" i="18" s="1"/>
  <c r="M43" i="18"/>
  <c r="K61" i="18"/>
  <c r="M54" i="18"/>
  <c r="K53" i="18"/>
  <c r="M49" i="18"/>
  <c r="M53" i="18" s="1"/>
  <c r="K31" i="18"/>
  <c r="M31" i="18" s="1"/>
  <c r="M33" i="18"/>
  <c r="K7" i="18"/>
  <c r="M8" i="18"/>
  <c r="M37" i="18"/>
  <c r="M3" i="18"/>
  <c r="M2" i="18" s="1"/>
  <c r="M20" i="18"/>
  <c r="L7" i="18"/>
  <c r="M55" i="18"/>
  <c r="F58" i="17"/>
  <c r="F57" i="17"/>
  <c r="E57" i="17"/>
  <c r="E58" i="17" s="1"/>
  <c r="E59" i="17" s="1"/>
  <c r="H54" i="17"/>
  <c r="B51" i="17"/>
  <c r="B50" i="17"/>
  <c r="B49" i="17"/>
  <c r="B48" i="17"/>
  <c r="B47" i="17"/>
  <c r="B46" i="17"/>
  <c r="G36" i="17"/>
  <c r="G35" i="17"/>
  <c r="G34" i="17"/>
  <c r="G33" i="17"/>
  <c r="G32" i="17"/>
  <c r="G31" i="17"/>
  <c r="G30" i="17"/>
  <c r="G29" i="17"/>
  <c r="J18" i="17"/>
  <c r="I17" i="17"/>
  <c r="I18" i="17" s="1"/>
  <c r="H17" i="17"/>
  <c r="H18" i="17" s="1"/>
  <c r="C16" i="17"/>
  <c r="B16" i="17"/>
  <c r="C15" i="17"/>
  <c r="B15" i="17"/>
  <c r="C14" i="17"/>
  <c r="B14" i="17"/>
  <c r="C13" i="17"/>
  <c r="B13" i="17"/>
  <c r="C12" i="17"/>
  <c r="B12" i="17"/>
  <c r="C11" i="17"/>
  <c r="B11" i="17"/>
  <c r="G10" i="17"/>
  <c r="F10" i="17"/>
  <c r="E10" i="17"/>
  <c r="D10" i="17"/>
  <c r="C10" i="17"/>
  <c r="B10" i="17"/>
  <c r="G9" i="17"/>
  <c r="F9" i="17"/>
  <c r="E9" i="17"/>
  <c r="D9" i="17"/>
  <c r="C9" i="17"/>
  <c r="B9" i="17"/>
  <c r="G8" i="17"/>
  <c r="F8" i="17"/>
  <c r="E8" i="17"/>
  <c r="D8" i="17"/>
  <c r="C8" i="17"/>
  <c r="B8" i="17"/>
  <c r="G7" i="17"/>
  <c r="F7" i="17"/>
  <c r="E7" i="17"/>
  <c r="D7" i="17"/>
  <c r="C7" i="17"/>
  <c r="B7" i="17"/>
  <c r="G6" i="17"/>
  <c r="F6" i="17"/>
  <c r="E6" i="17"/>
  <c r="D6" i="17"/>
  <c r="C6" i="17"/>
  <c r="B6" i="17"/>
  <c r="G5" i="17"/>
  <c r="G17" i="17" s="1"/>
  <c r="G18" i="17" s="1"/>
  <c r="F5" i="17"/>
  <c r="E5" i="17"/>
  <c r="D5" i="17"/>
  <c r="C5" i="17"/>
  <c r="B5" i="17"/>
  <c r="H41" i="18" l="1"/>
  <c r="H53" i="18"/>
  <c r="H25" i="18"/>
  <c r="H35" i="18" s="1"/>
  <c r="F35" i="18"/>
  <c r="F64" i="18" s="1"/>
  <c r="L35" i="18"/>
  <c r="L64" i="18" s="1"/>
  <c r="M61" i="18"/>
  <c r="M48" i="18"/>
  <c r="K48" i="18"/>
  <c r="H48" i="18"/>
  <c r="K35" i="18"/>
  <c r="M7" i="18"/>
  <c r="M35" i="18" s="1"/>
  <c r="B17" i="17"/>
  <c r="B18" i="17" s="1"/>
  <c r="D17" i="17"/>
  <c r="E17" i="17"/>
  <c r="G41" i="17"/>
  <c r="H41" i="17" s="1"/>
  <c r="H42" i="17" s="1"/>
  <c r="J44" i="17" s="1"/>
  <c r="B52" i="17"/>
  <c r="B53" i="17" s="1"/>
  <c r="H22" i="17" s="1"/>
  <c r="C17" i="17"/>
  <c r="C18" i="17" s="1"/>
  <c r="F17" i="17"/>
  <c r="F18" i="17" s="1"/>
  <c r="F19" i="17" s="1"/>
  <c r="G43" i="17"/>
  <c r="H60" i="17"/>
  <c r="H64" i="18" l="1"/>
  <c r="M64" i="18"/>
  <c r="K64" i="18"/>
  <c r="H20" i="17"/>
  <c r="H62" i="17"/>
  <c r="H21" i="17" s="1"/>
  <c r="D18" i="17"/>
  <c r="H23" i="17" l="1"/>
  <c r="H24" i="17" s="1"/>
  <c r="G27" i="16"/>
  <c r="F27" i="16" s="1"/>
  <c r="G26" i="16"/>
  <c r="F26" i="16" s="1"/>
  <c r="G25" i="16"/>
  <c r="F25" i="16" s="1"/>
  <c r="G24" i="16"/>
  <c r="F24" i="16" s="1"/>
  <c r="G23" i="16"/>
  <c r="F23" i="16" s="1"/>
  <c r="G22" i="16"/>
  <c r="F22" i="16" s="1"/>
  <c r="G21" i="16"/>
  <c r="F21" i="16" s="1"/>
  <c r="G20" i="16"/>
  <c r="F20" i="16" s="1"/>
  <c r="G19" i="16"/>
  <c r="F19" i="16" s="1"/>
  <c r="G18" i="16"/>
  <c r="F18" i="16" s="1"/>
  <c r="G17" i="16"/>
  <c r="F17" i="16" s="1"/>
  <c r="E16" i="16"/>
  <c r="F16" i="16" s="1"/>
  <c r="G15" i="16"/>
  <c r="F15" i="16" s="1"/>
  <c r="G14" i="16"/>
  <c r="F14" i="16" s="1"/>
  <c r="E11" i="16"/>
  <c r="F11" i="16" s="1"/>
  <c r="G10" i="16"/>
  <c r="F10" i="16" s="1"/>
  <c r="E9" i="16"/>
  <c r="F9" i="16" s="1"/>
  <c r="G8" i="16"/>
  <c r="F8" i="16" s="1"/>
  <c r="E7" i="16"/>
  <c r="F7" i="16" s="1"/>
  <c r="G6" i="16"/>
  <c r="F6" i="16" s="1"/>
  <c r="G5" i="16"/>
  <c r="F5" i="16" s="1"/>
  <c r="G4" i="16"/>
  <c r="F4" i="16" s="1"/>
  <c r="E3" i="16"/>
  <c r="F3" i="16" s="1"/>
  <c r="E2" i="16"/>
  <c r="F2" i="16" s="1"/>
  <c r="G13" i="16"/>
  <c r="F13" i="16" s="1"/>
  <c r="G12" i="16"/>
  <c r="F12" i="16" s="1"/>
  <c r="W98" i="15"/>
  <c r="W99" i="15"/>
  <c r="W100" i="15"/>
  <c r="W101" i="15"/>
  <c r="W102" i="15"/>
  <c r="W103" i="15"/>
  <c r="W104" i="15"/>
  <c r="W105" i="15"/>
  <c r="W106" i="15"/>
  <c r="W107" i="15"/>
  <c r="W108" i="15"/>
  <c r="W109" i="15"/>
  <c r="W110" i="15"/>
  <c r="W111" i="15"/>
  <c r="W112" i="15"/>
  <c r="W113" i="15"/>
  <c r="W114" i="15"/>
  <c r="W115" i="15"/>
  <c r="W116" i="15"/>
  <c r="W117" i="15"/>
  <c r="W118" i="15"/>
  <c r="W119" i="15"/>
  <c r="W120" i="15"/>
  <c r="W121" i="15"/>
  <c r="W122" i="15"/>
  <c r="W123" i="15"/>
  <c r="E28" i="16" l="1"/>
  <c r="F28" i="16"/>
  <c r="G28" i="16"/>
  <c r="K29" i="16"/>
  <c r="Z124" i="15"/>
  <c r="I55" i="15" l="1"/>
  <c r="D124" i="15" l="1"/>
  <c r="E124" i="15"/>
  <c r="F124" i="15"/>
  <c r="G124" i="15"/>
  <c r="H124" i="15"/>
  <c r="I124" i="15"/>
  <c r="J124" i="15"/>
  <c r="K124" i="15"/>
  <c r="L124" i="15"/>
  <c r="M124" i="15"/>
  <c r="N124" i="15"/>
  <c r="O124" i="15"/>
  <c r="P124" i="15"/>
  <c r="Q124" i="15"/>
  <c r="R124" i="15"/>
  <c r="S124" i="15"/>
  <c r="T124" i="15"/>
  <c r="U124" i="15"/>
  <c r="V124" i="15"/>
  <c r="C124" i="15"/>
  <c r="C125" i="15"/>
  <c r="X22" i="15"/>
  <c r="W22" i="15"/>
  <c r="M93" i="15"/>
  <c r="W81" i="15"/>
  <c r="X81" i="15"/>
  <c r="W82" i="15"/>
  <c r="W83" i="15"/>
  <c r="X83" i="15"/>
  <c r="W84" i="15"/>
  <c r="W85" i="15"/>
  <c r="W86" i="15"/>
  <c r="W87" i="15"/>
  <c r="W164" i="15"/>
  <c r="X164" i="15"/>
  <c r="W165" i="15"/>
  <c r="W166" i="15"/>
  <c r="W167" i="15"/>
  <c r="W124" i="15" l="1"/>
  <c r="W133" i="15"/>
  <c r="W134" i="15"/>
  <c r="W135" i="15"/>
  <c r="W136" i="15"/>
  <c r="W137" i="15"/>
  <c r="W138" i="15"/>
  <c r="W139" i="15"/>
  <c r="W140" i="15"/>
  <c r="W141" i="15"/>
  <c r="W142" i="15"/>
  <c r="W143" i="15"/>
  <c r="W144" i="15"/>
  <c r="W145" i="15"/>
  <c r="W146" i="15"/>
  <c r="W147" i="15"/>
  <c r="W148" i="15"/>
  <c r="W149" i="15"/>
  <c r="W150" i="15"/>
  <c r="W151" i="15"/>
  <c r="X151" i="15"/>
  <c r="W152" i="15"/>
  <c r="W153" i="15"/>
  <c r="W154" i="15"/>
  <c r="W155" i="15"/>
  <c r="W156" i="15"/>
  <c r="W157" i="15"/>
  <c r="W158" i="15"/>
  <c r="W159" i="15"/>
  <c r="W160" i="15"/>
  <c r="W161" i="15"/>
  <c r="W162" i="15"/>
  <c r="W163" i="15"/>
  <c r="W132" i="15"/>
  <c r="X98" i="15"/>
  <c r="X99" i="15"/>
  <c r="X100" i="15"/>
  <c r="X101" i="15"/>
  <c r="X102" i="15"/>
  <c r="X104" i="15"/>
  <c r="X105" i="15"/>
  <c r="X106" i="15"/>
  <c r="X107" i="15"/>
  <c r="X108" i="15"/>
  <c r="X109" i="15"/>
  <c r="X110" i="15"/>
  <c r="X111" i="15"/>
  <c r="W70" i="15"/>
  <c r="X70" i="15"/>
  <c r="X112" i="15"/>
  <c r="X113" i="15"/>
  <c r="X114" i="15"/>
  <c r="X115" i="15"/>
  <c r="X116" i="15"/>
  <c r="X117" i="15"/>
  <c r="X118" i="15"/>
  <c r="X119" i="15"/>
  <c r="W90" i="15"/>
  <c r="X90" i="15"/>
  <c r="X120" i="15"/>
  <c r="X121" i="15"/>
  <c r="X122" i="15"/>
  <c r="X123" i="15"/>
  <c r="X14" i="15"/>
  <c r="W14" i="15"/>
  <c r="W16" i="15"/>
  <c r="X16" i="15"/>
  <c r="W17" i="15"/>
  <c r="W18" i="15"/>
  <c r="W19" i="15"/>
  <c r="W20" i="15"/>
  <c r="X20" i="15"/>
  <c r="W21" i="15"/>
  <c r="X21" i="15"/>
  <c r="W23" i="15"/>
  <c r="X23" i="15"/>
  <c r="W24" i="15"/>
  <c r="X24" i="15"/>
  <c r="W25" i="15"/>
  <c r="X25" i="15"/>
  <c r="W26" i="15"/>
  <c r="W27" i="15"/>
  <c r="W28" i="15"/>
  <c r="W29" i="15"/>
  <c r="W31" i="15"/>
  <c r="W32" i="15"/>
  <c r="X32" i="15"/>
  <c r="W33" i="15"/>
  <c r="X33" i="15"/>
  <c r="W34" i="15"/>
  <c r="W35" i="15"/>
  <c r="W36" i="15"/>
  <c r="W37" i="15"/>
  <c r="X37" i="15"/>
  <c r="W38" i="15"/>
  <c r="X38" i="15"/>
  <c r="W39" i="15"/>
  <c r="W40" i="15"/>
  <c r="W41" i="15"/>
  <c r="W42" i="15"/>
  <c r="W43" i="15"/>
  <c r="W44" i="15"/>
  <c r="W45" i="15"/>
  <c r="W46" i="15"/>
  <c r="W48" i="15"/>
  <c r="X48" i="15"/>
  <c r="W49" i="15"/>
  <c r="X49" i="15"/>
  <c r="W50" i="15"/>
  <c r="W51" i="15"/>
  <c r="W53" i="15"/>
  <c r="W54" i="15"/>
  <c r="W55" i="15"/>
  <c r="W57" i="15"/>
  <c r="W58" i="15"/>
  <c r="X58" i="15"/>
  <c r="W59" i="15"/>
  <c r="W60" i="15"/>
  <c r="X60" i="15"/>
  <c r="W61" i="15"/>
  <c r="X61" i="15"/>
  <c r="X62" i="15"/>
  <c r="W63" i="15"/>
  <c r="W64" i="15"/>
  <c r="W65" i="15"/>
  <c r="W66" i="15"/>
  <c r="W67" i="15"/>
  <c r="W68" i="15"/>
  <c r="X68" i="15"/>
  <c r="W69" i="15"/>
  <c r="X69" i="15"/>
  <c r="W71" i="15"/>
  <c r="X71" i="15"/>
  <c r="W72" i="15"/>
  <c r="W73" i="15"/>
  <c r="X73" i="15"/>
  <c r="W74" i="15"/>
  <c r="X74" i="15"/>
  <c r="W75" i="15"/>
  <c r="X75" i="15"/>
  <c r="W76" i="15"/>
  <c r="W77" i="15"/>
  <c r="W78" i="15"/>
  <c r="W79" i="15"/>
  <c r="W80" i="15"/>
  <c r="W88" i="15"/>
  <c r="X88" i="15"/>
  <c r="W89" i="15"/>
  <c r="W91" i="15"/>
  <c r="X91" i="15"/>
  <c r="W92" i="15"/>
  <c r="X92" i="15"/>
  <c r="W15" i="15"/>
  <c r="N146" i="15"/>
  <c r="X146" i="15" s="1"/>
  <c r="N165" i="15"/>
  <c r="X165" i="15" s="1"/>
  <c r="S170" i="15"/>
  <c r="U170" i="15"/>
  <c r="W168" i="15"/>
  <c r="X11" i="15"/>
  <c r="W11" i="15"/>
  <c r="C6" i="15"/>
  <c r="E56" i="15"/>
  <c r="W56" i="15" s="1"/>
  <c r="S52" i="15"/>
  <c r="W52" i="15" s="1"/>
  <c r="T7" i="15" l="1"/>
  <c r="R7" i="15"/>
  <c r="P7" i="15"/>
  <c r="C7" i="15"/>
  <c r="D7" i="15"/>
  <c r="H7" i="15"/>
  <c r="J7" i="15"/>
  <c r="F7" i="15"/>
  <c r="E30" i="15" l="1"/>
  <c r="W30" i="15" l="1"/>
  <c r="D43" i="15"/>
  <c r="K93" i="15" l="1"/>
  <c r="O93" i="15"/>
  <c r="Q93" i="15"/>
  <c r="S93" i="15"/>
  <c r="U93" i="15"/>
  <c r="I47" i="15" l="1"/>
  <c r="E62" i="15"/>
  <c r="F132" i="15"/>
  <c r="X132" i="15" s="1"/>
  <c r="X6" i="15"/>
  <c r="W62" i="15" l="1"/>
  <c r="E93" i="15"/>
  <c r="E125" i="15" s="1"/>
  <c r="W47" i="15"/>
  <c r="I93" i="15"/>
  <c r="U9" i="15"/>
  <c r="U125" i="15" s="1"/>
  <c r="S9" i="15"/>
  <c r="S95" i="15" s="1"/>
  <c r="S125" i="15" s="1"/>
  <c r="E94" i="15" l="1"/>
  <c r="W93" i="15"/>
  <c r="J39" i="15"/>
  <c r="X39" i="15" s="1"/>
  <c r="H15" i="15" l="1"/>
  <c r="J42" i="15" l="1"/>
  <c r="J15" i="15"/>
  <c r="F30" i="15" l="1"/>
  <c r="X30" i="15" s="1"/>
  <c r="P86" i="15"/>
  <c r="D45" i="15"/>
  <c r="V86" i="15"/>
  <c r="N86" i="15"/>
  <c r="F56" i="15"/>
  <c r="X56" i="15" s="1"/>
  <c r="F43" i="15"/>
  <c r="F66" i="15"/>
  <c r="P84" i="15"/>
  <c r="D84" i="15"/>
  <c r="X84" i="15" s="1"/>
  <c r="H66" i="15"/>
  <c r="T27" i="15"/>
  <c r="J47" i="15"/>
  <c r="X47" i="15" s="1"/>
  <c r="D64" i="15"/>
  <c r="X64" i="15" s="1"/>
  <c r="P31" i="15"/>
  <c r="X31" i="15" s="1"/>
  <c r="J50" i="15"/>
  <c r="D28" i="15"/>
  <c r="F28" i="15"/>
  <c r="J77" i="15"/>
  <c r="P28" i="15"/>
  <c r="F34" i="15"/>
  <c r="X34" i="15" s="1"/>
  <c r="P35" i="15"/>
  <c r="F26" i="15"/>
  <c r="J72" i="15"/>
  <c r="X72" i="15" s="1"/>
  <c r="H42" i="15"/>
  <c r="X28" i="15" l="1"/>
  <c r="H27" i="15"/>
  <c r="H82" i="15"/>
  <c r="X82" i="15" s="1"/>
  <c r="D29" i="15"/>
  <c r="X29" i="15" s="1"/>
  <c r="F35" i="15"/>
  <c r="D35" i="15"/>
  <c r="P87" i="15"/>
  <c r="R87" i="15"/>
  <c r="D77" i="15"/>
  <c r="D52" i="15"/>
  <c r="D27" i="15"/>
  <c r="F27" i="15"/>
  <c r="H86" i="15"/>
  <c r="H52" i="15"/>
  <c r="T52" i="15"/>
  <c r="F140" i="15"/>
  <c r="X140" i="15" s="1"/>
  <c r="F167" i="15"/>
  <c r="X167" i="15" s="1"/>
  <c r="F139" i="15"/>
  <c r="X139" i="15" s="1"/>
  <c r="F142" i="15"/>
  <c r="X142" i="15" s="1"/>
  <c r="F141" i="15"/>
  <c r="X141" i="15" s="1"/>
  <c r="F138" i="15"/>
  <c r="X138" i="15" s="1"/>
  <c r="F137" i="15"/>
  <c r="X137" i="15" s="1"/>
  <c r="F133" i="15"/>
  <c r="X133" i="15" s="1"/>
  <c r="T152" i="15"/>
  <c r="X152" i="15" s="1"/>
  <c r="T168" i="15"/>
  <c r="L168" i="15"/>
  <c r="V168" i="15"/>
  <c r="H168" i="15"/>
  <c r="R168" i="15"/>
  <c r="J161" i="15"/>
  <c r="X161" i="15" s="1"/>
  <c r="L149" i="15"/>
  <c r="X149" i="15" s="1"/>
  <c r="D150" i="15"/>
  <c r="X150" i="15" s="1"/>
  <c r="R162" i="15"/>
  <c r="X162" i="15" s="1"/>
  <c r="R163" i="15"/>
  <c r="X163" i="15" s="1"/>
  <c r="D148" i="15"/>
  <c r="X148" i="15" s="1"/>
  <c r="D156" i="15"/>
  <c r="P156" i="15"/>
  <c r="Q188" i="15"/>
  <c r="N188" i="15"/>
  <c r="M188" i="15"/>
  <c r="L188" i="15"/>
  <c r="K188" i="15"/>
  <c r="J188" i="15"/>
  <c r="I188" i="15"/>
  <c r="P188" i="15"/>
  <c r="O188" i="15"/>
  <c r="R187" i="15"/>
  <c r="R186" i="15"/>
  <c r="R185" i="15"/>
  <c r="R184" i="15"/>
  <c r="D166" i="15"/>
  <c r="X166" i="15" s="1"/>
  <c r="N160" i="15"/>
  <c r="X160" i="15" s="1"/>
  <c r="N159" i="15"/>
  <c r="X159" i="15" s="1"/>
  <c r="N158" i="15"/>
  <c r="X158" i="15" s="1"/>
  <c r="N157" i="15"/>
  <c r="X157" i="15" s="1"/>
  <c r="F156" i="15"/>
  <c r="N155" i="15"/>
  <c r="X155" i="15" s="1"/>
  <c r="F154" i="15"/>
  <c r="X154" i="15" s="1"/>
  <c r="N153" i="15"/>
  <c r="X153" i="15" s="1"/>
  <c r="N147" i="15"/>
  <c r="X147" i="15" s="1"/>
  <c r="N145" i="15"/>
  <c r="X145" i="15" s="1"/>
  <c r="N144" i="15"/>
  <c r="X144" i="15" s="1"/>
  <c r="D143" i="15"/>
  <c r="X143" i="15" s="1"/>
  <c r="F136" i="15"/>
  <c r="X136" i="15" s="1"/>
  <c r="N135" i="15"/>
  <c r="X135" i="15" s="1"/>
  <c r="F134" i="15"/>
  <c r="X134" i="15" s="1"/>
  <c r="X103" i="15"/>
  <c r="X124" i="15" s="1"/>
  <c r="T89" i="15"/>
  <c r="V89" i="15"/>
  <c r="R89" i="15"/>
  <c r="N89" i="15"/>
  <c r="F89" i="15"/>
  <c r="D89" i="15"/>
  <c r="F87" i="15"/>
  <c r="D87" i="15"/>
  <c r="T86" i="15"/>
  <c r="R86" i="15"/>
  <c r="D86" i="15"/>
  <c r="J85" i="15"/>
  <c r="X85" i="15" s="1"/>
  <c r="D80" i="15"/>
  <c r="X80" i="15" s="1"/>
  <c r="D79" i="15"/>
  <c r="X79" i="15" s="1"/>
  <c r="T78" i="15"/>
  <c r="X78" i="15" s="1"/>
  <c r="P77" i="15"/>
  <c r="H76" i="15"/>
  <c r="X76" i="15" s="1"/>
  <c r="J67" i="15"/>
  <c r="X67" i="15" s="1"/>
  <c r="T66" i="15"/>
  <c r="R66" i="15"/>
  <c r="J66" i="15"/>
  <c r="D66" i="15"/>
  <c r="F65" i="15"/>
  <c r="D65" i="15"/>
  <c r="D63" i="15"/>
  <c r="X63" i="15" s="1"/>
  <c r="H59" i="15"/>
  <c r="X59" i="15" s="1"/>
  <c r="J57" i="15"/>
  <c r="X57" i="15" s="1"/>
  <c r="N55" i="15"/>
  <c r="H55" i="15"/>
  <c r="F55" i="15"/>
  <c r="T54" i="15"/>
  <c r="D54" i="15"/>
  <c r="X54" i="15" s="1"/>
  <c r="T53" i="15"/>
  <c r="D53" i="15"/>
  <c r="V52" i="15"/>
  <c r="J52" i="15"/>
  <c r="P52" i="15"/>
  <c r="F52" i="15"/>
  <c r="H51" i="15"/>
  <c r="X51" i="15" s="1"/>
  <c r="F50" i="15"/>
  <c r="D50" i="15"/>
  <c r="F46" i="15"/>
  <c r="X46" i="15" s="1"/>
  <c r="R45" i="15"/>
  <c r="P45" i="15"/>
  <c r="L44" i="15"/>
  <c r="H44" i="15"/>
  <c r="V43" i="15"/>
  <c r="N43" i="15"/>
  <c r="P43" i="15"/>
  <c r="H43" i="15"/>
  <c r="T42" i="15"/>
  <c r="X42" i="15" s="1"/>
  <c r="J41" i="15"/>
  <c r="H41" i="15"/>
  <c r="D40" i="15"/>
  <c r="X40" i="15" s="1"/>
  <c r="J36" i="15"/>
  <c r="X36" i="15" s="1"/>
  <c r="N27" i="15"/>
  <c r="J27" i="15"/>
  <c r="P27" i="15"/>
  <c r="T26" i="15"/>
  <c r="N26" i="15"/>
  <c r="J26" i="15"/>
  <c r="H26" i="15"/>
  <c r="D26" i="15"/>
  <c r="J19" i="15"/>
  <c r="X19" i="15" s="1"/>
  <c r="P18" i="15"/>
  <c r="J17" i="15"/>
  <c r="H17" i="15"/>
  <c r="T15" i="15"/>
  <c r="N15" i="15"/>
  <c r="Q9" i="15"/>
  <c r="L9" i="15"/>
  <c r="I9" i="15"/>
  <c r="G9" i="15"/>
  <c r="E9" i="15"/>
  <c r="C9" i="15"/>
  <c r="X8" i="15"/>
  <c r="M8" i="15"/>
  <c r="K8" i="15"/>
  <c r="O8" i="15"/>
  <c r="O9" i="15" s="1"/>
  <c r="T9" i="15"/>
  <c r="V7" i="15"/>
  <c r="V9" i="15" s="1"/>
  <c r="R9" i="15"/>
  <c r="N7" i="15"/>
  <c r="M7" i="15" s="1"/>
  <c r="K7" i="15"/>
  <c r="J9" i="15"/>
  <c r="P9" i="15"/>
  <c r="H9" i="15"/>
  <c r="F9" i="15"/>
  <c r="D9" i="15"/>
  <c r="M6" i="15"/>
  <c r="K6" i="15"/>
  <c r="X53" i="15" l="1"/>
  <c r="X44" i="15"/>
  <c r="X55" i="15"/>
  <c r="X66" i="15"/>
  <c r="X89" i="15"/>
  <c r="X41" i="15"/>
  <c r="X45" i="15"/>
  <c r="X43" i="15"/>
  <c r="X50" i="15"/>
  <c r="X65" i="15"/>
  <c r="X156" i="15"/>
  <c r="L93" i="15"/>
  <c r="X27" i="15"/>
  <c r="X15" i="15"/>
  <c r="X17" i="15"/>
  <c r="X86" i="15"/>
  <c r="X52" i="15"/>
  <c r="X77" i="15"/>
  <c r="X87" i="15"/>
  <c r="X18" i="15"/>
  <c r="X26" i="15"/>
  <c r="X35" i="15"/>
  <c r="N170" i="15"/>
  <c r="L170" i="15"/>
  <c r="T170" i="15"/>
  <c r="X168" i="15"/>
  <c r="D170" i="15"/>
  <c r="V93" i="15"/>
  <c r="F170" i="15"/>
  <c r="F93" i="15"/>
  <c r="T93" i="15"/>
  <c r="H93" i="15"/>
  <c r="H95" i="15" s="1"/>
  <c r="J93" i="15"/>
  <c r="P93" i="15"/>
  <c r="R93" i="15"/>
  <c r="N93" i="15"/>
  <c r="D93" i="15"/>
  <c r="W6" i="15"/>
  <c r="E95" i="15"/>
  <c r="E169" i="15" s="1"/>
  <c r="E170" i="15" s="1"/>
  <c r="C95" i="15"/>
  <c r="C169" i="15" s="1"/>
  <c r="W8" i="15"/>
  <c r="W7" i="15"/>
  <c r="N9" i="15"/>
  <c r="M9" i="15"/>
  <c r="X7" i="15"/>
  <c r="K9" i="15"/>
  <c r="O95" i="15"/>
  <c r="O170" i="15" s="1"/>
  <c r="I95" i="15"/>
  <c r="I169" i="15" s="1"/>
  <c r="I170" i="15" s="1"/>
  <c r="G95" i="15"/>
  <c r="G169" i="15" s="1"/>
  <c r="G170" i="15" s="1"/>
  <c r="R188" i="15"/>
  <c r="K189" i="15" s="1"/>
  <c r="G125" i="15" l="1"/>
  <c r="I125" i="15"/>
  <c r="W127" i="15" s="1"/>
  <c r="C170" i="15"/>
  <c r="O125" i="15"/>
  <c r="H169" i="15"/>
  <c r="H170" i="15" s="1"/>
  <c r="AA168" i="15"/>
  <c r="R95" i="15"/>
  <c r="R169" i="15" s="1"/>
  <c r="R170" i="15" s="1"/>
  <c r="P95" i="15"/>
  <c r="P169" i="15" s="1"/>
  <c r="P170" i="15" s="1"/>
  <c r="D95" i="15"/>
  <c r="D125" i="15" s="1"/>
  <c r="F94" i="15"/>
  <c r="X93" i="15"/>
  <c r="V95" i="15"/>
  <c r="V169" i="15" s="1"/>
  <c r="V170" i="15" s="1"/>
  <c r="L95" i="15"/>
  <c r="L125" i="15" s="1"/>
  <c r="T95" i="15"/>
  <c r="T125" i="15" s="1"/>
  <c r="F95" i="15"/>
  <c r="Q95" i="15"/>
  <c r="M95" i="15"/>
  <c r="M169" i="15" s="1"/>
  <c r="M170" i="15" s="1"/>
  <c r="W9" i="15"/>
  <c r="N189" i="15"/>
  <c r="J95" i="15"/>
  <c r="X9" i="15"/>
  <c r="N95" i="15"/>
  <c r="N125" i="15" s="1"/>
  <c r="M189" i="15"/>
  <c r="I189" i="15"/>
  <c r="L189" i="15"/>
  <c r="P189" i="15"/>
  <c r="Q189" i="15"/>
  <c r="K95" i="15"/>
  <c r="K169" i="15" s="1"/>
  <c r="K170" i="15" s="1"/>
  <c r="J189" i="15"/>
  <c r="O189" i="15"/>
  <c r="F125" i="15" l="1"/>
  <c r="H125" i="15"/>
  <c r="P125" i="15"/>
  <c r="V125" i="15"/>
  <c r="R125" i="15"/>
  <c r="K125" i="15"/>
  <c r="J169" i="15"/>
  <c r="J170" i="15" s="1"/>
  <c r="J125" i="15"/>
  <c r="M125" i="15"/>
  <c r="Q169" i="15"/>
  <c r="Q170" i="15" s="1"/>
  <c r="Q125" i="15"/>
  <c r="X95" i="15"/>
  <c r="X125" i="15" s="1"/>
  <c r="X126" i="15" s="1"/>
  <c r="W95" i="15"/>
  <c r="W125" i="15" s="1"/>
  <c r="X169" i="15" l="1"/>
  <c r="X170" i="15" s="1"/>
  <c r="W169" i="15"/>
  <c r="W170" i="15" s="1"/>
  <c r="W176" i="15" s="1"/>
  <c r="O129" i="15"/>
  <c r="O172" i="15" s="1"/>
  <c r="Q129" i="15"/>
  <c r="Q172" i="15" s="1"/>
  <c r="N127" i="15"/>
  <c r="N129" i="15" s="1"/>
  <c r="C129" i="15"/>
  <c r="C172" i="15" s="1"/>
  <c r="D127" i="15"/>
  <c r="D129" i="15" s="1"/>
  <c r="R127" i="15"/>
  <c r="R129" i="15" s="1"/>
  <c r="M129" i="15"/>
  <c r="M172" i="15" s="1"/>
  <c r="L127" i="15"/>
  <c r="L129" i="15" s="1"/>
  <c r="T127" i="15"/>
  <c r="T129" i="15" s="1"/>
  <c r="I127" i="15"/>
  <c r="I129" i="15" s="1"/>
  <c r="I172" i="15" s="1"/>
  <c r="V127" i="15"/>
  <c r="V129" i="15" s="1"/>
  <c r="G129" i="15"/>
  <c r="G172" i="15" s="1"/>
  <c r="S129" i="15"/>
  <c r="S172" i="15" s="1"/>
  <c r="P127" i="15"/>
  <c r="P129" i="15" s="1"/>
  <c r="K129" i="15"/>
  <c r="K172" i="15" s="1"/>
  <c r="U129" i="15"/>
  <c r="U172" i="15" s="1"/>
  <c r="J127" i="15"/>
  <c r="J129" i="15" s="1"/>
  <c r="F127" i="15"/>
  <c r="F129" i="15" s="1"/>
  <c r="H127" i="15"/>
  <c r="H129" i="15" s="1"/>
  <c r="E129" i="15"/>
  <c r="E172" i="15" s="1"/>
  <c r="X127" i="15" l="1"/>
</calcChain>
</file>

<file path=xl/comments1.xml><?xml version="1.0" encoding="utf-8"?>
<comments xmlns="http://schemas.openxmlformats.org/spreadsheetml/2006/main">
  <authors>
    <author>Frankó-Szőnyi Enikő</author>
    <author>Kriszti</author>
    <author>monon</author>
  </authors>
  <commentList>
    <comment ref="C6" authorId="0" shapeId="0">
      <text>
        <r>
          <rPr>
            <b/>
            <sz val="9"/>
            <color indexed="81"/>
            <rFont val="Segoe UI"/>
            <family val="2"/>
            <charset val="238"/>
          </rPr>
          <t>Frankó-Szőnyi Enikő:</t>
        </r>
        <r>
          <rPr>
            <sz val="9"/>
            <color indexed="81"/>
            <rFont val="Segoe UI"/>
            <family val="2"/>
            <charset val="238"/>
          </rPr>
          <t xml:space="preserve">
3 fő 10%-os emeléssel + várható túlóra kerettel</t>
        </r>
      </text>
    </comment>
    <comment ref="T6" authorId="0" shapeId="0">
      <text>
        <r>
          <rPr>
            <b/>
            <sz val="9"/>
            <color indexed="81"/>
            <rFont val="Segoe UI"/>
            <family val="2"/>
            <charset val="238"/>
          </rPr>
          <t>Frankó-Szőnyi Enikő:</t>
        </r>
        <r>
          <rPr>
            <sz val="9"/>
            <color indexed="81"/>
            <rFont val="Segoe UI"/>
            <family val="2"/>
            <charset val="238"/>
          </rPr>
          <t xml:space="preserve">
2 fő státusz, de rossz helyre lett könyvelve. A beszámolóig korrigálva lesz</t>
        </r>
      </text>
    </comment>
    <comment ref="J15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Zseton kocsimosáshoz, Gumijavítás+szerelés, e-matrica, e-matrica, e-matrica, e-matrica,e-matrica, Javítás</t>
        </r>
      </text>
    </comment>
    <comment ref="N15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Akkumulátor</t>
        </r>
      </text>
    </comment>
    <comment ref="G25" authorId="0" shapeId="0">
      <text>
        <r>
          <rPr>
            <b/>
            <sz val="9"/>
            <color indexed="81"/>
            <rFont val="Segoe UI"/>
            <charset val="1"/>
          </rPr>
          <t>Frankó-Szőnyi Enikő:</t>
        </r>
        <r>
          <rPr>
            <sz val="9"/>
            <color indexed="81"/>
            <rFont val="Segoe UI"/>
            <charset val="1"/>
          </rPr>
          <t xml:space="preserve">
lapát, gereblye, fogó</t>
        </r>
      </text>
    </comment>
    <comment ref="N26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Önkorinak lábdtörlő</t>
        </r>
      </text>
    </comment>
    <comment ref="B27" authorId="2" shapeId="0">
      <text>
        <r>
          <rPr>
            <b/>
            <sz val="9"/>
            <color indexed="81"/>
            <rFont val="Segoe UI"/>
            <family val="2"/>
            <charset val="238"/>
          </rPr>
          <t>monon:</t>
        </r>
        <r>
          <rPr>
            <sz val="9"/>
            <color indexed="81"/>
            <rFont val="Segoe UI"/>
            <family val="2"/>
            <charset val="238"/>
          </rPr>
          <t xml:space="preserve">
Szoftver frissítés
Kültéri padok javítása
Munkaalkalmassági vizsg.Terítő mosás. TOI, Ételhulladék elszállítás
Mosógép javítás</t>
        </r>
      </text>
    </comment>
    <comment ref="F27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Terítő mosás,
Munkaalkalmassági v.
Vízlágyító, Ebédlő festés ag.</t>
        </r>
      </text>
    </comment>
    <comment ref="H27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J27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kulcsmásolás</t>
        </r>
      </text>
    </comment>
    <comment ref="N27" authorId="2" shapeId="0">
      <text>
        <r>
          <rPr>
            <b/>
            <sz val="9"/>
            <color indexed="81"/>
            <rFont val="Segoe UI"/>
            <family val="2"/>
            <charset val="238"/>
          </rPr>
          <t>monon:</t>
        </r>
        <r>
          <rPr>
            <sz val="9"/>
            <color indexed="81"/>
            <rFont val="Segoe UI"/>
            <family val="2"/>
            <charset val="238"/>
          </rPr>
          <t xml:space="preserve">
Útjelző tábla</t>
        </r>
      </text>
    </comment>
    <comment ref="P27" authorId="2" shapeId="0">
      <text>
        <r>
          <rPr>
            <b/>
            <sz val="9"/>
            <color indexed="81"/>
            <rFont val="Segoe UI"/>
            <family val="2"/>
            <charset val="238"/>
          </rPr>
          <t>monon:</t>
        </r>
        <r>
          <rPr>
            <sz val="9"/>
            <color indexed="81"/>
            <rFont val="Segoe UI"/>
            <family val="2"/>
            <charset val="238"/>
          </rPr>
          <t xml:space="preserve">
TOI</t>
        </r>
      </text>
    </comment>
    <comment ref="T27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Mosógép javítás, Rotációs kapa kölcsönzés, Mosogatógéptank szűrőbetét</t>
        </r>
      </text>
    </comment>
    <comment ref="F30" authorId="2" shapeId="0">
      <text>
        <r>
          <rPr>
            <b/>
            <sz val="9"/>
            <color indexed="81"/>
            <rFont val="Segoe UI"/>
            <family val="2"/>
            <charset val="238"/>
          </rPr>
          <t>(4054,- szünidei étkezés)(22070,- diétás étke)/rendezvény 192814,- márc/ /rendezvény 77412,-/  (rend. 200.144,-)(Diétás 22520,-)(Diétás 26574,-)(21619,-)(Diétás 13512,-)(Diétás 25673,-)(Diétás 25673,-)(Rendezvény 119819,-)(Diétás 27024,-)/választás 59141,-/Diétás étkezés 34681,-/rendezvény 207529//22069,- diétás étk// /Rendezvény 141.717,-/ /28375,- Diétás /</t>
        </r>
      </text>
    </comment>
    <comment ref="J39" authorId="1" shapeId="0">
      <text>
        <r>
          <rPr>
            <b/>
            <sz val="9"/>
            <color indexed="81"/>
            <rFont val="Segoe UI"/>
            <charset val="1"/>
          </rPr>
          <t>Kriszti:</t>
        </r>
        <r>
          <rPr>
            <sz val="9"/>
            <color indexed="81"/>
            <rFont val="Segoe UI"/>
            <charset val="1"/>
          </rPr>
          <t xml:space="preserve">
109537,- Gépj.
1676000,- Rehab</t>
        </r>
      </text>
    </comment>
    <comment ref="C40" authorId="0" shapeId="0">
      <text>
        <r>
          <rPr>
            <b/>
            <sz val="9"/>
            <color indexed="81"/>
            <rFont val="Segoe UI"/>
            <charset val="1"/>
          </rPr>
          <t>Frankó-Szőnyi Enikő:</t>
        </r>
        <r>
          <rPr>
            <sz val="9"/>
            <color indexed="81"/>
            <rFont val="Segoe UI"/>
            <charset val="1"/>
          </rPr>
          <t xml:space="preserve">
nyíló ablakok karbantartása eddig nem volt, de előírás lett</t>
        </r>
      </text>
    </comment>
    <comment ref="J47" authorId="1" shapeId="0">
      <text>
        <r>
          <rPr>
            <b/>
            <sz val="9"/>
            <color indexed="81"/>
            <rFont val="Segoe UI"/>
            <charset val="1"/>
          </rPr>
          <t>Kriszti:</t>
        </r>
        <r>
          <rPr>
            <sz val="9"/>
            <color indexed="81"/>
            <rFont val="Segoe UI"/>
            <charset val="1"/>
          </rPr>
          <t xml:space="preserve">
/88000,- Rita internet elérés.kábelez./</t>
        </r>
      </text>
    </comment>
    <comment ref="D52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(105000,- Tűzgátló ajtók javítása)</t>
        </r>
      </text>
    </comment>
    <comment ref="P52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Gázkészülék karbantartás+ Fűtésrendszer javítás</t>
        </r>
      </text>
    </comment>
    <comment ref="E55" authorId="0" shapeId="0">
      <text>
        <r>
          <rPr>
            <b/>
            <sz val="9"/>
            <color indexed="81"/>
            <rFont val="Segoe UI"/>
            <charset val="1"/>
          </rPr>
          <t>Frankó-Szőnyi Enikő:</t>
        </r>
        <r>
          <rPr>
            <sz val="9"/>
            <color indexed="81"/>
            <rFont val="Segoe UI"/>
            <charset val="1"/>
          </rPr>
          <t xml:space="preserve">
mobil telefon</t>
        </r>
      </text>
    </comment>
    <comment ref="F55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Microhullám.sütő, 8 db szék</t>
        </r>
      </text>
    </comment>
    <comment ref="H55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Dugókulcskés+Akkumulátor, Csillagkulcs, Dugókulcs, Parkolásgátló oszlop,Kőroppantó,Sarokcsiszoló</t>
        </r>
      </text>
    </comment>
    <comment ref="I55" authorId="0" shapeId="0">
      <text>
        <r>
          <rPr>
            <b/>
            <sz val="9"/>
            <color indexed="81"/>
            <rFont val="Segoe UI"/>
            <charset val="1"/>
          </rPr>
          <t>Frankó-Szőnyi Enikő:</t>
        </r>
        <r>
          <rPr>
            <sz val="9"/>
            <color indexed="81"/>
            <rFont val="Segoe UI"/>
            <charset val="1"/>
          </rPr>
          <t xml:space="preserve">
mobil telefon + laptop az ügyvezetőnek</t>
        </r>
      </text>
    </comment>
    <comment ref="N55" authorId="2" shapeId="0">
      <text>
        <r>
          <rPr>
            <b/>
            <sz val="9"/>
            <color indexed="81"/>
            <rFont val="Segoe UI"/>
            <family val="2"/>
            <charset val="238"/>
          </rPr>
          <t>monon:</t>
        </r>
        <r>
          <rPr>
            <sz val="9"/>
            <color indexed="81"/>
            <rFont val="Segoe UI"/>
            <family val="2"/>
            <charset val="238"/>
          </rPr>
          <t xml:space="preserve">
(Postaláda)(Asztalláb)</t>
        </r>
      </text>
    </comment>
    <comment ref="C62" authorId="0" shapeId="0">
      <text>
        <r>
          <rPr>
            <b/>
            <sz val="9"/>
            <color indexed="81"/>
            <rFont val="Segoe UI"/>
            <charset val="1"/>
          </rPr>
          <t>Frankó-Szőnyi Enikő:</t>
        </r>
        <r>
          <rPr>
            <sz val="9"/>
            <color indexed="81"/>
            <rFont val="Segoe UI"/>
            <charset val="1"/>
          </rPr>
          <t xml:space="preserve">
csarnok légtechnika szűrőinek cseréje szükséges + rendszer tisztítás</t>
        </r>
      </text>
    </comment>
    <comment ref="H82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(11475,- József A u. kút fedlap)(parkolásgátló oszlop 10 db112.000,-)(Parkolásgátló keret 1 db 33500,-)Gödöllői út járda )Munkácsy u,Ág köz, Somogyi Béla u. /Jégvirág u.szikkasztó árok/ Bolnoka u</t>
        </r>
      </text>
    </comment>
    <comment ref="D84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(9.000,- Ped.SZSz)</t>
        </r>
      </text>
    </comment>
    <comment ref="D86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 (270000,- tornaterem világítás felújítáás)</t>
        </r>
      </text>
    </comment>
    <comment ref="N89" authorId="2" shapeId="0">
      <text>
        <r>
          <rPr>
            <b/>
            <sz val="9"/>
            <color indexed="81"/>
            <rFont val="Segoe UI"/>
            <family val="2"/>
            <charset val="238"/>
          </rPr>
          <t>monon:</t>
        </r>
        <r>
          <rPr>
            <sz val="9"/>
            <color indexed="81"/>
            <rFont val="Segoe UI"/>
            <family val="2"/>
            <charset val="238"/>
          </rPr>
          <t xml:space="preserve">
Gyerekorvosi rendelő</t>
        </r>
      </text>
    </comment>
    <comment ref="F94" authorId="0" shapeId="0">
      <text>
        <r>
          <rPr>
            <b/>
            <sz val="9"/>
            <color indexed="81"/>
            <rFont val="Segoe UI"/>
            <charset val="1"/>
          </rPr>
          <t>Frankó-Szőnyi Enikő:</t>
        </r>
        <r>
          <rPr>
            <sz val="9"/>
            <color indexed="81"/>
            <rFont val="Segoe UI"/>
            <charset val="1"/>
          </rPr>
          <t xml:space="preserve">
Közvetlen költség
</t>
        </r>
      </text>
    </comment>
    <comment ref="G106" authorId="0" shapeId="0">
      <text>
        <r>
          <rPr>
            <b/>
            <sz val="9"/>
            <color indexed="81"/>
            <rFont val="Segoe UI"/>
            <family val="2"/>
            <charset val="238"/>
          </rPr>
          <t>Frankó-Szőnyi Enikő:</t>
        </r>
        <r>
          <rPr>
            <sz val="9"/>
            <color indexed="81"/>
            <rFont val="Segoe UI"/>
            <family val="2"/>
            <charset val="238"/>
          </rPr>
          <t xml:space="preserve">
2 db</t>
        </r>
      </text>
    </comment>
    <comment ref="N146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/A 17.820,-Közérdekű védekezés./</t>
        </r>
      </text>
    </comment>
    <comment ref="D150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(riasztó díj 2362,-)(A -156804,- Jan-márc védőnő, gyerekorvos korrekció mert annak van külön sora)ápr-jún -156804
</t>
        </r>
      </text>
    </comment>
    <comment ref="T152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Ez amit kiszámlázunk</t>
        </r>
      </text>
    </comment>
    <comment ref="F156" authorId="1" shapeId="0">
      <text>
        <r>
          <rPr>
            <b/>
            <sz val="9"/>
            <color indexed="81"/>
            <rFont val="Segoe UI"/>
            <family val="2"/>
            <charset val="238"/>
          </rPr>
          <t>Kriszti:</t>
        </r>
        <r>
          <rPr>
            <sz val="9"/>
            <color indexed="81"/>
            <rFont val="Segoe UI"/>
            <family val="2"/>
            <charset val="238"/>
          </rPr>
          <t xml:space="preserve">
Étkező terembérlet</t>
        </r>
      </text>
    </comment>
    <comment ref="F167" authorId="1" shapeId="0">
      <text>
        <r>
          <rPr>
            <b/>
            <sz val="9"/>
            <color indexed="81"/>
            <rFont val="Segoe UI"/>
            <charset val="1"/>
          </rPr>
          <t>Kriszti:</t>
        </r>
        <r>
          <rPr>
            <sz val="9"/>
            <color indexed="81"/>
            <rFont val="Segoe UI"/>
            <charset val="1"/>
          </rPr>
          <t xml:space="preserve">
/111.614,- választás/ /97378,- Testületi allakuló ülés// Sport bál /</t>
        </r>
      </text>
    </comment>
    <comment ref="P169" authorId="0" shapeId="0">
      <text>
        <r>
          <rPr>
            <b/>
            <sz val="9"/>
            <color indexed="81"/>
            <rFont val="Segoe UI"/>
            <family val="2"/>
            <charset val="238"/>
          </rPr>
          <t>Frankó-Szőnyi Enikő:</t>
        </r>
        <r>
          <rPr>
            <sz val="9"/>
            <color indexed="81"/>
            <rFont val="Segoe UI"/>
            <family val="2"/>
            <charset val="238"/>
          </rPr>
          <t xml:space="preserve">
+  műfüves pálya műfű cseréje, ami a karbantartási soron van
</t>
        </r>
      </text>
    </comment>
  </commentList>
</comments>
</file>

<file path=xl/comments2.xml><?xml version="1.0" encoding="utf-8"?>
<comments xmlns="http://schemas.openxmlformats.org/spreadsheetml/2006/main">
  <authors>
    <author>Rendszergazda</author>
  </authors>
  <commentList>
    <comment ref="J17" authorId="0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rendezvényes bevétel
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kiadás+bevétel</t>
        </r>
      </text>
    </comment>
    <comment ref="C18" authorId="0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kiadás+bevétel</t>
        </r>
      </text>
    </comment>
    <comment ref="J18" authorId="0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31539356+740000
</t>
        </r>
      </text>
    </comment>
    <comment ref="H24" authorId="0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79947844+15361867</t>
        </r>
      </text>
    </comment>
    <comment ref="J44" authorId="0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FELNŐTT+RENDEZV.</t>
        </r>
      </text>
    </comment>
    <comment ref="E59" authorId="0" shapeId="0">
      <text>
        <r>
          <rPr>
            <b/>
            <sz val="9"/>
            <color indexed="81"/>
            <rFont val="Segoe UI"/>
            <family val="2"/>
            <charset val="238"/>
          </rPr>
          <t>Rendszergazda:</t>
        </r>
        <r>
          <rPr>
            <sz val="9"/>
            <color indexed="81"/>
            <rFont val="Segoe UI"/>
            <family val="2"/>
            <charset val="238"/>
          </rPr>
          <t xml:space="preserve">
nyersa.+REZSI
</t>
        </r>
      </text>
    </comment>
  </commentList>
</comments>
</file>

<file path=xl/sharedStrings.xml><?xml version="1.0" encoding="utf-8"?>
<sst xmlns="http://schemas.openxmlformats.org/spreadsheetml/2006/main" count="836" uniqueCount="381">
  <si>
    <t xml:space="preserve">2146 Mogyoród Dózsa György út 40. </t>
  </si>
  <si>
    <t>Személy jellegű ráfordítások</t>
  </si>
  <si>
    <t>Sportcsarnok</t>
  </si>
  <si>
    <t>Konyha</t>
  </si>
  <si>
    <t>Hulladék</t>
  </si>
  <si>
    <t>Összesen</t>
  </si>
  <si>
    <t>Munkabér</t>
  </si>
  <si>
    <t>Munkabérhez tartozó járulék</t>
  </si>
  <si>
    <t>Munkábajárási hozzájárulás</t>
  </si>
  <si>
    <t>S.</t>
  </si>
  <si>
    <t>Anyagi jellegű ráfordítás megnevezése</t>
  </si>
  <si>
    <t>Vízdíjak</t>
  </si>
  <si>
    <t>Gázszolgáltatás</t>
  </si>
  <si>
    <t>Elektromos áram</t>
  </si>
  <si>
    <t>Kéményseprői közszolgáltatás</t>
  </si>
  <si>
    <t>Iparűzési adó</t>
  </si>
  <si>
    <t>Gépjármű adó+Rehabilitációs h</t>
  </si>
  <si>
    <t>Étkezési tér. Díj kompenzáció</t>
  </si>
  <si>
    <t>Gyógyszer beszerzés</t>
  </si>
  <si>
    <t>Irodaszer, nyomtatvány</t>
  </si>
  <si>
    <t>Hajtó és kenőanyag</t>
  </si>
  <si>
    <t>Kisértékű tárgyi eszközök beszerzése</t>
  </si>
  <si>
    <t>Munkaruha, védőruha</t>
  </si>
  <si>
    <t>Higiéniai termék, takarítószer</t>
  </si>
  <si>
    <t>Egyéb anyag</t>
  </si>
  <si>
    <t>Ionizáló só</t>
  </si>
  <si>
    <t>Vízlágyító berendezés karbantartás</t>
  </si>
  <si>
    <t>Hulladékgyűjtő (vagy közterületi tartályok beszerzése)</t>
  </si>
  <si>
    <t>Postaköltség</t>
  </si>
  <si>
    <t>Vagyonvédelem</t>
  </si>
  <si>
    <t>Hulladékszállítás</t>
  </si>
  <si>
    <t>Biztosítás  ( Autó )</t>
  </si>
  <si>
    <t>Biztosítás  ( Épület )</t>
  </si>
  <si>
    <t>Biztosítás  ( tevékenység)</t>
  </si>
  <si>
    <t>Rágcsálóirtás</t>
  </si>
  <si>
    <t>Pénzügyi szolgáltatás (könyvelés)</t>
  </si>
  <si>
    <t>Bankköltség</t>
  </si>
  <si>
    <t>Könyvvizsgálat</t>
  </si>
  <si>
    <t>Üzemorvosi szolgáltatás</t>
  </si>
  <si>
    <t>Munkavédelem, Tűzvédelem tanácsadás</t>
  </si>
  <si>
    <t>Védőital</t>
  </si>
  <si>
    <t>Zsírfogó karbantartás</t>
  </si>
  <si>
    <t>Tisztasági festés</t>
  </si>
  <si>
    <t>Lift felülvizsgálat /TÜV/</t>
  </si>
  <si>
    <t>Villanyszerelés, anyagköltséggel</t>
  </si>
  <si>
    <t>Gépészeti karbantartás, javítás</t>
  </si>
  <si>
    <t>Kazán karbantartása</t>
  </si>
  <si>
    <t>Közterületi virágosítás</t>
  </si>
  <si>
    <t>Érintésvédelmi felülvizsgálat minden intézmény</t>
  </si>
  <si>
    <t>Le nem vonható ÁFA</t>
  </si>
  <si>
    <t>Beruházási, felújítási kiadások megnevezése</t>
  </si>
  <si>
    <t>Temető bejáró burkolat javítása</t>
  </si>
  <si>
    <t>Felhalmozási kiadások összesen</t>
  </si>
  <si>
    <t>Költség, ráfordítás és felújítási kiadás összesen:</t>
  </si>
  <si>
    <t>Bevétel megnevezése</t>
  </si>
  <si>
    <t>Sportbevételek (terembérleti díjak - nincs áfa)</t>
  </si>
  <si>
    <t>Étkeztetés bevétele Óvoda</t>
  </si>
  <si>
    <t>Étkeztetés rezsi ktsg. Óvoda</t>
  </si>
  <si>
    <t>Étkeztetés rezsi ktsg. Iskola</t>
  </si>
  <si>
    <t>Nyári gyermekétkeztetés bevétele</t>
  </si>
  <si>
    <t>Vendégétkeztetés bevétele</t>
  </si>
  <si>
    <t>Diétás étkezés bevétele</t>
  </si>
  <si>
    <t>Diétás étkezés rezsiköltségének bevétele</t>
  </si>
  <si>
    <t>Ételhulladék bevétele</t>
  </si>
  <si>
    <t>Temetőben végzett vállalkozói tevékenység</t>
  </si>
  <si>
    <t>Hulladékgyűjtő zsák / edény értékesítés</t>
  </si>
  <si>
    <t>Telefon továbbszámlázás</t>
  </si>
  <si>
    <t>Takarítás</t>
  </si>
  <si>
    <t>ELMŰ Panaszpont</t>
  </si>
  <si>
    <t>Kamat</t>
  </si>
  <si>
    <t>Önkormányzat feladatfinanszírozása</t>
  </si>
  <si>
    <t>Önkormányzat fejl.c.támogatása</t>
  </si>
  <si>
    <t>Bevételek összesen</t>
  </si>
  <si>
    <t>Játszótér javítás, ellenőrzés</t>
  </si>
  <si>
    <t xml:space="preserve">Étkeztetés bevétele Önkorm. (isk. kedvezm.) </t>
  </si>
  <si>
    <t>Sportcsarnok eszköz felülvizsgálata és javítása</t>
  </si>
  <si>
    <t>Használati hozzájárulás DTK</t>
  </si>
  <si>
    <t>Óvoda</t>
  </si>
  <si>
    <t>Vállalati központ költségének felosztási aránya</t>
  </si>
  <si>
    <t>Vállalati központ felosztott arányosított költsége:</t>
  </si>
  <si>
    <t>Közvetett és közvetlen költség, ráfordítás és felújítási kiadás</t>
  </si>
  <si>
    <t>Március 14 ünnepség</t>
  </si>
  <si>
    <t>Zászlók</t>
  </si>
  <si>
    <t xml:space="preserve">Takarítószer </t>
  </si>
  <si>
    <t>Úrna bérlet, sírhely bérlet ( Márványlap)</t>
  </si>
  <si>
    <t>Színpad szerelés</t>
  </si>
  <si>
    <t>Faház építés</t>
  </si>
  <si>
    <t>Élőfüves pálya karbantartása</t>
  </si>
  <si>
    <t>Karbantartás</t>
  </si>
  <si>
    <t>Gyenge áram, tűzjelző felügy.éves (Silent night)</t>
  </si>
  <si>
    <t>Burkolat javítás</t>
  </si>
  <si>
    <t>Dugulás elhárítás, Szennyvízszippantás, Szivattyú javítás</t>
  </si>
  <si>
    <t>Zár és kulcs csere</t>
  </si>
  <si>
    <t>Szökőkút javítás</t>
  </si>
  <si>
    <t>Informatikai támogatás</t>
  </si>
  <si>
    <t>Kötelező képzés és egyéb oktatás</t>
  </si>
  <si>
    <t>Szivattyú beépítése a meglévőhöz-Pill.Óvoda</t>
  </si>
  <si>
    <t>Védőnők és gyermekorvosi rendelő közüzemi díj tovább számlázás</t>
  </si>
  <si>
    <t>Rendelők</t>
  </si>
  <si>
    <t>Bér + Anyagi jellegű ráfordítás</t>
  </si>
  <si>
    <t>Nébih felügyeleti díj</t>
  </si>
  <si>
    <t>Műfüves pálya karbantartás</t>
  </si>
  <si>
    <t>Autó, gép alkatrész + javítás+karbant.Matrica, eljárási illeték</t>
  </si>
  <si>
    <t>GDPR szolgáltatás és adatgazda megbízás</t>
  </si>
  <si>
    <t xml:space="preserve">Étkeztetés bevétele Iskola diák (nincs pénzmozgás) -kompenzáció Önkormányzat felé </t>
  </si>
  <si>
    <t>Iskola közüzemi díj továbbszámlázás Önkormányzat/DTK részére</t>
  </si>
  <si>
    <t>Telep.üzem.</t>
  </si>
  <si>
    <t>OJSC</t>
  </si>
  <si>
    <t>Vállalkozási tev.</t>
  </si>
  <si>
    <t>Temető</t>
  </si>
  <si>
    <t>Anyagi jellegű ráfordítások összesen</t>
  </si>
  <si>
    <t>2019 várható</t>
  </si>
  <si>
    <r>
      <t xml:space="preserve">Egyéb étkeztetés bevétele </t>
    </r>
    <r>
      <rPr>
        <sz val="11"/>
        <color rgb="FFFF0000"/>
        <rFont val="Calibri"/>
        <family val="2"/>
        <charset val="238"/>
        <scheme val="minor"/>
      </rPr>
      <t>(szünidei étk</t>
    </r>
    <r>
      <rPr>
        <sz val="11"/>
        <rFont val="Calibri"/>
        <family val="2"/>
        <charset val="238"/>
        <scheme val="minor"/>
      </rPr>
      <t>)</t>
    </r>
  </si>
  <si>
    <t>Rendelők 1400</t>
  </si>
  <si>
    <t>Óvoda 1300</t>
  </si>
  <si>
    <t>Köztemető 1200</t>
  </si>
  <si>
    <t>Hulladék 600</t>
  </si>
  <si>
    <t>Sportcsarnok 100</t>
  </si>
  <si>
    <t>Konyha 200</t>
  </si>
  <si>
    <t>Település tisztaság 400</t>
  </si>
  <si>
    <t>Ober János 900</t>
  </si>
  <si>
    <t>Vállalati központ 500</t>
  </si>
  <si>
    <t>Vállalkozási tevékenység 800</t>
  </si>
  <si>
    <t>Vízvezeték, fűtés javítás+ag.</t>
  </si>
  <si>
    <t>Tűzoltósági felülvizsgálat WEB tűzőr</t>
  </si>
  <si>
    <t>Fénycső</t>
  </si>
  <si>
    <t>Eredményjelző használat</t>
  </si>
  <si>
    <t>Lábtörlő</t>
  </si>
  <si>
    <t>Tűzjelző felügyelet ( G4S )/Criterion/</t>
  </si>
  <si>
    <t>Konyhagép karbantartás Zamfam, ZsírProfi</t>
  </si>
  <si>
    <t>Szemétszállítás</t>
  </si>
  <si>
    <t>Salamonkir.téri sportpark.</t>
  </si>
  <si>
    <t>Földterület bérbeadás</t>
  </si>
  <si>
    <t>Fűkaszálás vállalkozási bevétele+Gépi földmunka, nyesedék szállítás</t>
  </si>
  <si>
    <t>Étkeztetés bevétele Iskola diák  kedv (Amit a gyerekeknek állítunk ki számlát )</t>
  </si>
  <si>
    <t>Telefondíj, Internet</t>
  </si>
  <si>
    <t>Hulladékelszáll.Biofilter</t>
  </si>
  <si>
    <t>Karbantartási anyag, szerelési ag, mdíj</t>
  </si>
  <si>
    <t>Elmű Adatátviteli díj</t>
  </si>
  <si>
    <t xml:space="preserve">Élelmiszer beszerzés </t>
  </si>
  <si>
    <t>2020 terv</t>
  </si>
  <si>
    <t>Telephely csarnok 350 m2 (Szadai úti vagy Mély úti önkormányzati ingatlanon)</t>
  </si>
  <si>
    <t>Közmű kiépítés telephelyre</t>
  </si>
  <si>
    <t>CAT munkagépre gumi garnitúra és féltengely csere</t>
  </si>
  <si>
    <t>Peugeot Bipper nyári gumi garnitúra</t>
  </si>
  <si>
    <t>AP-500 pótkocsi gumi garnitúra</t>
  </si>
  <si>
    <t>RM. zsúrkocsi</t>
  </si>
  <si>
    <t>Ételmintás Hűtő 60L</t>
  </si>
  <si>
    <t>Tornaterem tető javítása</t>
  </si>
  <si>
    <t>Talicska</t>
  </si>
  <si>
    <t>Fúrógép</t>
  </si>
  <si>
    <t>Burgonyakoptató</t>
  </si>
  <si>
    <t>Fűkasza</t>
  </si>
  <si>
    <t>Zsugorfóliázó</t>
  </si>
  <si>
    <t>Csavarbehajtó</t>
  </si>
  <si>
    <t>olajsütő</t>
  </si>
  <si>
    <t>Belső világítás csere sportcsarnok küzdőtér</t>
  </si>
  <si>
    <t>Sportcsarnok tető faszerkezet festése és karbantartása</t>
  </si>
  <si>
    <t>Gáz főzőüst</t>
  </si>
  <si>
    <t>Belső kamerarendszer Sportcsarnokba</t>
  </si>
  <si>
    <t>Napkollektor rendszer kiépítése Sportcsarnokra</t>
  </si>
  <si>
    <t>Napkollektor rendszer kiépítése telephelyre</t>
  </si>
  <si>
    <t>Kommunális munkagép</t>
  </si>
  <si>
    <t>Tolólap adapter traktorra</t>
  </si>
  <si>
    <t>Sószóró adapter traktorra</t>
  </si>
  <si>
    <t>Légtechnika karbantartás</t>
  </si>
  <si>
    <t>Egyéb kiadások ( Terítő mosás) (TOI) (Szállít.ktg)(Gép kölcs.)(Kulcs.más) (Hat vizsg.)( Közmű egy.)(Kamarai tagdíj )( Vízbek. Eng.terv)(Térkép,hírdetés)(Felszólítási díj)(Szoftver frissítés )</t>
  </si>
  <si>
    <t>Ételhulladék elszállítása</t>
  </si>
  <si>
    <t>Diétás étkeztetés rezis költsége</t>
  </si>
  <si>
    <t>Laminált parketta csere</t>
  </si>
  <si>
    <t>Gesztenyés óvoda riasztó felújítása</t>
  </si>
  <si>
    <t>Eszköz pótlás</t>
  </si>
  <si>
    <t>Temető közvilágítás fejlesztés</t>
  </si>
  <si>
    <t>Lift karbantartás</t>
  </si>
  <si>
    <t>Fő tér buszmegállók cseréje</t>
  </si>
  <si>
    <t>Főtéri Híd felújítása</t>
  </si>
  <si>
    <t>Mély úti önkormányzati ingatlan bekerítése</t>
  </si>
  <si>
    <t>Buszmegállók festése</t>
  </si>
  <si>
    <t>Egyéb anyag továbbszámlázása</t>
  </si>
  <si>
    <t>Útjavítás, karbantartás</t>
  </si>
  <si>
    <t>Útépítés</t>
  </si>
  <si>
    <t>Fejlesztési, beruházási cél</t>
  </si>
  <si>
    <t>Menny.</t>
  </si>
  <si>
    <t>Me. Egys.</t>
  </si>
  <si>
    <t>Nettó ár</t>
  </si>
  <si>
    <t>Áfa</t>
  </si>
  <si>
    <t>Bruttó ár</t>
  </si>
  <si>
    <t>db</t>
  </si>
  <si>
    <t>Felhalmozási kiadásból</t>
  </si>
  <si>
    <t>alk</t>
  </si>
  <si>
    <t>Napkollektor rendszer kiépítése Sportcsarnokba</t>
  </si>
  <si>
    <t>Összesen:</t>
  </si>
  <si>
    <t>2020 pénzforgalom, élelem beszerzés, rezsi</t>
  </si>
  <si>
    <t>iskola</t>
  </si>
  <si>
    <t>rezsi óvoda</t>
  </si>
  <si>
    <t>rezsi iskola</t>
  </si>
  <si>
    <t>élelem beszerzés nettó</t>
  </si>
  <si>
    <t>diétás</t>
  </si>
  <si>
    <t>diét. rezsi</t>
  </si>
  <si>
    <t>Kedvezményes</t>
  </si>
  <si>
    <t>nem kedvezményes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</si>
  <si>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</si>
  <si>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</si>
  <si>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</si>
  <si>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</si>
  <si>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</si>
  <si>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</si>
  <si>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</si>
  <si>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</si>
  <si>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</si>
  <si>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</si>
  <si>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</si>
  <si>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</si>
  <si>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összesen:</t>
  </si>
  <si>
    <t>Nettó</t>
  </si>
  <si>
    <t>Nettó gyermek étk.+rezsi:</t>
  </si>
  <si>
    <t>(zöld )</t>
  </si>
  <si>
    <t>Felnőtt+nyár+rendezv.:</t>
  </si>
  <si>
    <t>szünidei étk.</t>
  </si>
  <si>
    <t>összes Nettó bevétel:</t>
  </si>
  <si>
    <t>Felnőtt adagszám</t>
  </si>
  <si>
    <t>összes adag</t>
  </si>
  <si>
    <t>NETTÓ:</t>
  </si>
  <si>
    <t>felnőtt nyersanyag norma:321Ft</t>
  </si>
  <si>
    <t>Szünidei gyermekétkeztetés</t>
  </si>
  <si>
    <t>Rezsi</t>
  </si>
  <si>
    <t>315 Ft tér.díj</t>
  </si>
  <si>
    <t>össz.:</t>
  </si>
  <si>
    <t>Nettó:</t>
  </si>
  <si>
    <t>Rendezvények</t>
  </si>
  <si>
    <t>Összes nyár Nettó:</t>
  </si>
  <si>
    <t>(Felnőtt+nyár+Rendezv.)Nettó:</t>
  </si>
  <si>
    <t>(ételh.nélkül.)</t>
  </si>
  <si>
    <t>Nyári táborok ,Oratórium</t>
  </si>
  <si>
    <t>Nyersanyag</t>
  </si>
  <si>
    <t>Bíró H.étterem különbözet 357Ft</t>
  </si>
  <si>
    <t>össz.adag x 809Ft</t>
  </si>
  <si>
    <t>Sor szám</t>
  </si>
  <si>
    <t>Megnevezés</t>
  </si>
  <si>
    <t>Me</t>
  </si>
  <si>
    <t>Nettó egység ár</t>
  </si>
  <si>
    <t>2019 Kötelező feladatok</t>
  </si>
  <si>
    <t>2019 Anyag költség</t>
  </si>
  <si>
    <t>2019 Összesen</t>
  </si>
  <si>
    <t xml:space="preserve">Fűnyírás (kézi) </t>
  </si>
  <si>
    <t xml:space="preserve">Önkormányzati területek </t>
  </si>
  <si>
    <t>m2</t>
  </si>
  <si>
    <t>Országos közút területe, árok-út közötti terület</t>
  </si>
  <si>
    <t>Egyéb magántulajdonú terület</t>
  </si>
  <si>
    <t xml:space="preserve">Fűkaszálás (gépi) </t>
  </si>
  <si>
    <t>óra</t>
  </si>
  <si>
    <t>Parkok gondozása, karbantartása</t>
  </si>
  <si>
    <t>Egynyári</t>
  </si>
  <si>
    <t>Évelő</t>
  </si>
  <si>
    <t>Cserje</t>
  </si>
  <si>
    <t>Faültetés Karózással</t>
  </si>
  <si>
    <t>Zöldterület egyéb karbantartás (gyomlálás, kapálás, sövény vágás)</t>
  </si>
  <si>
    <t>Zöldterület takarítás (lomb, nyesedék)</t>
  </si>
  <si>
    <t>Parkok fűnyírása (6 alkalom x 8713m2)</t>
  </si>
  <si>
    <t>Locsolás, Ültetés</t>
  </si>
  <si>
    <t>Szökőkút karbantartás, javítás</t>
  </si>
  <si>
    <t>Szökőkút vegyszer, egyéb anyag, külső javítás</t>
  </si>
  <si>
    <t>Egyéb (utcabútor gondozás, stb..)</t>
  </si>
  <si>
    <t>Fakivágás, gallyazás</t>
  </si>
  <si>
    <t>Fák, cserjék gallyazása</t>
  </si>
  <si>
    <t xml:space="preserve">Kisfa kivágás </t>
  </si>
  <si>
    <t>Fakivágás utómunkák</t>
  </si>
  <si>
    <t xml:space="preserve">Fejlesztés </t>
  </si>
  <si>
    <t>Közterületi virágládák beszerzése</t>
  </si>
  <si>
    <t>Köztisztasági feladatok</t>
  </si>
  <si>
    <t>Buszmegálló takarítása, szemetes ürítése, kutya ürülék elszál.</t>
  </si>
  <si>
    <t>Hulladékgyűjtő edények cseréje, telepítése</t>
  </si>
  <si>
    <t>Járdák, buszmegállók, Önkormányzati ingatlanok járdáinak síkosságmentesítése</t>
  </si>
  <si>
    <t>Gépi síkosságmentesítés</t>
  </si>
  <si>
    <t>Települési illegális szemétszállítás</t>
  </si>
  <si>
    <t>Játszótér</t>
  </si>
  <si>
    <t>Játszótér telepítés, költöztetés, anyag költség</t>
  </si>
  <si>
    <t>Játszóterek ásása, szemtelése, locsolása, karbantartása</t>
  </si>
  <si>
    <t>I.</t>
  </si>
  <si>
    <t>Parkok mindösszesen:</t>
  </si>
  <si>
    <t>2018 Kötelező feladatok</t>
  </si>
  <si>
    <t>2018 Anyag költség</t>
  </si>
  <si>
    <t>2018 Összesen</t>
  </si>
  <si>
    <t>Kresz táblák pótlása (oszloppal)</t>
  </si>
  <si>
    <t>Kresz táblák cseréje, pótlása</t>
  </si>
  <si>
    <t>Kresz táblák ideiglenes kihelyezése</t>
  </si>
  <si>
    <t>Aszfaltút kátyúzása</t>
  </si>
  <si>
    <t>Földutak karbantartása</t>
  </si>
  <si>
    <t>Ápolása, gréderezése</t>
  </si>
  <si>
    <t>Földutak zúzottköves javítása</t>
  </si>
  <si>
    <t>Kézi erős munka</t>
  </si>
  <si>
    <t>Járda karbantartása</t>
  </si>
  <si>
    <t>Padka tisztítás, hordalék elszállítás</t>
  </si>
  <si>
    <t>II.</t>
  </si>
  <si>
    <t>Járda- és útjavítás mindösszesen:</t>
  </si>
  <si>
    <t>Rácsos átereszek karbantartása tisztítása</t>
  </si>
  <si>
    <t>Vízelvezető  árkok gépi tisztítása</t>
  </si>
  <si>
    <t>Vízelvezető árkok helyreállítása, zsaluzása</t>
  </si>
  <si>
    <t>fm</t>
  </si>
  <si>
    <t>Vízelvezető árkok kézi tisztítása</t>
  </si>
  <si>
    <t>III.</t>
  </si>
  <si>
    <t>Csapadékvíz mindösszesen:</t>
  </si>
  <si>
    <t>Önkormányzati rendezvények biztosítása</t>
  </si>
  <si>
    <t>Művelődési Ház részére végzett munka</t>
  </si>
  <si>
    <t>Mogyoród Turisztikai Kft. részére végzett munka</t>
  </si>
  <si>
    <t>Vis major</t>
  </si>
  <si>
    <t>Egyéb munkálatok Önkormányzat részére</t>
  </si>
  <si>
    <t>Önkormányzati ingatlanon végzett gépmunka</t>
  </si>
  <si>
    <t>Szociális tűzifa kiszállítás</t>
  </si>
  <si>
    <t>IV.</t>
  </si>
  <si>
    <t>Egyéb munka Önkormányzat és Intézményei részére</t>
  </si>
  <si>
    <t>V.</t>
  </si>
  <si>
    <t>Közétkeztetés szállítása Óvodákba és Hivatalba</t>
  </si>
  <si>
    <t>VÍ.</t>
  </si>
  <si>
    <t>Óvodák karbantartási munkája</t>
  </si>
  <si>
    <t>Mindösszesen (nettó):</t>
  </si>
  <si>
    <t>2020 terv mennyiség</t>
  </si>
  <si>
    <t>2020 Kötelező feladatok</t>
  </si>
  <si>
    <t>2020 Anyag költség</t>
  </si>
  <si>
    <t>2020 Összesen</t>
  </si>
  <si>
    <t>Fűnyírás</t>
  </si>
  <si>
    <t>Zöldterület egyéb karbantartás (gyomlálás, kapálás, locsolás)</t>
  </si>
  <si>
    <t>Virág vásárlás</t>
  </si>
  <si>
    <t>Virág ültetés</t>
  </si>
  <si>
    <t>Temetés előtti terület rendezés</t>
  </si>
  <si>
    <t>Hulladék szállítás</t>
  </si>
  <si>
    <t>Járdák, utak takarítása, síkosság mentesítése</t>
  </si>
  <si>
    <t>Hulladékgyűjtők kialakítása</t>
  </si>
  <si>
    <t>Egyéb karbantartási munkák</t>
  </si>
  <si>
    <t>Meglévő vízvezeték karbantartása</t>
  </si>
  <si>
    <t>Egyéb gépmunka</t>
  </si>
  <si>
    <t>2019 megvalósult mennyiség</t>
  </si>
  <si>
    <t>2019 Kötelező feladatok összesen</t>
  </si>
  <si>
    <t>2020 tervezett Anyag költség</t>
  </si>
  <si>
    <t>2020 Kötelező feladatok összesen</t>
  </si>
  <si>
    <t>2019 Megvalósult mennyiség</t>
  </si>
  <si>
    <t>Sorszám</t>
  </si>
  <si>
    <t>2020 Tervezett mennyiség</t>
  </si>
  <si>
    <t>Időszak</t>
  </si>
  <si>
    <t>Iskola</t>
  </si>
  <si>
    <t>Csarnok</t>
  </si>
  <si>
    <t>Sportpálya</t>
  </si>
  <si>
    <t xml:space="preserve"> Dunakeszi TK  (50% iskola,50% csarnok)</t>
  </si>
  <si>
    <t>Sportlétesítmények önköltség számítása a 2019. évi igénybevétel alapján</t>
  </si>
  <si>
    <t>nap/alk.</t>
  </si>
  <si>
    <t>óra / félpálya</t>
  </si>
  <si>
    <t>nap</t>
  </si>
  <si>
    <t>Egység</t>
  </si>
  <si>
    <t>Össz óraszám Tornaterem</t>
  </si>
  <si>
    <t>Össz óraszám Sportcsarnok</t>
  </si>
  <si>
    <t>Össz óraszám OJSC (műfű)</t>
  </si>
  <si>
    <t>Január</t>
  </si>
  <si>
    <t>Dunakeszi Tankerület</t>
  </si>
  <si>
    <t xml:space="preserve">óra  </t>
  </si>
  <si>
    <t>Február</t>
  </si>
  <si>
    <t>Egyéb bérlők</t>
  </si>
  <si>
    <t>Március</t>
  </si>
  <si>
    <t>Teljes használat (óra):</t>
  </si>
  <si>
    <t>Április</t>
  </si>
  <si>
    <t>Május</t>
  </si>
  <si>
    <t>Június</t>
  </si>
  <si>
    <t>Sportlétesítmények előkalkuláció számítása a 2020. évre várható igénybevétel alapján</t>
  </si>
  <si>
    <t>Július</t>
  </si>
  <si>
    <t>Augusztus</t>
  </si>
  <si>
    <t>Szeptember</t>
  </si>
  <si>
    <t>Október</t>
  </si>
  <si>
    <t>November</t>
  </si>
  <si>
    <t>December</t>
  </si>
  <si>
    <t>Bruttó költség</t>
  </si>
  <si>
    <t>Önköltségi óradíj:</t>
  </si>
  <si>
    <t>Központi költségvetés arányos része:</t>
  </si>
  <si>
    <t>Teljes bruttó költség:</t>
  </si>
  <si>
    <t>Önköltségi óradíj teljes költségre vetítve:</t>
  </si>
  <si>
    <t>Bérleti díj</t>
  </si>
  <si>
    <t>Mogyoród Nonprofit Kft.  - 2020. évi üzleti terve</t>
  </si>
  <si>
    <t>Ingatlan többletbevétel esetére tervezett további fejlesztési beruházás</t>
  </si>
  <si>
    <t>2019 önköltségi ár</t>
  </si>
  <si>
    <t>Dunakeszi Tankerület használati hozzájárulás</t>
  </si>
  <si>
    <t>Dunakeszi Tankerület rezsi továbbszámlázás</t>
  </si>
  <si>
    <t>Védőnők és Gyermekorvos rezsi</t>
  </si>
  <si>
    <t>Fennmaradó osztandó költség: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</si>
</sst>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"/>
    <numFmt numFmtId="166" formatCode="0.0"/>
  </numFmts>
  <fonts count="5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Times New Roman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rgb="FFFBE4D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BE4D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E2F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9E2F3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3">
    <xf numFmtId="0" fontId="0" fillId="0" borderId="0" xfId="0"/>
    <xf numFmtId="164" fontId="1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0" fontId="1" fillId="0" borderId="1" xfId="1" applyFont="1" applyFill="1" applyBorder="1"/>
    <xf numFmtId="164" fontId="3" fillId="0" borderId="0" xfId="0" applyNumberFormat="1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vertical="center"/>
    </xf>
    <xf numFmtId="164" fontId="9" fillId="0" borderId="19" xfId="0" applyNumberFormat="1" applyFont="1" applyFill="1" applyBorder="1" applyAlignment="1">
      <alignment vertical="center"/>
    </xf>
    <xf numFmtId="164" fontId="9" fillId="0" borderId="21" xfId="0" applyNumberFormat="1" applyFont="1" applyFill="1" applyBorder="1" applyAlignment="1">
      <alignment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0" fontId="10" fillId="0" borderId="3" xfId="0" applyNumberFormat="1" applyFont="1" applyFill="1" applyBorder="1" applyAlignment="1">
      <alignment horizontal="center" vertical="center"/>
    </xf>
    <xf numFmtId="10" fontId="11" fillId="0" borderId="0" xfId="0" applyNumberFormat="1" applyFont="1" applyFill="1" applyBorder="1" applyAlignment="1">
      <alignment horizontal="left" vertical="center" wrapText="1"/>
    </xf>
    <xf numFmtId="10" fontId="10" fillId="0" borderId="0" xfId="0" applyNumberFormat="1" applyFont="1" applyFill="1" applyAlignment="1">
      <alignment vertical="center"/>
    </xf>
    <xf numFmtId="10" fontId="10" fillId="0" borderId="1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 wrapText="1"/>
    </xf>
    <xf numFmtId="164" fontId="9" fillId="0" borderId="14" xfId="0" applyNumberFormat="1" applyFont="1" applyFill="1" applyBorder="1" applyAlignment="1">
      <alignment vertical="center" wrapText="1"/>
    </xf>
    <xf numFmtId="164" fontId="1" fillId="0" borderId="16" xfId="0" applyNumberFormat="1" applyFont="1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left" vertical="center" wrapText="1"/>
    </xf>
    <xf numFmtId="164" fontId="1" fillId="0" borderId="17" xfId="0" applyNumberFormat="1" applyFont="1" applyFill="1" applyBorder="1" applyAlignment="1">
      <alignment horizontal="left" vertical="center" wrapText="1"/>
    </xf>
    <xf numFmtId="164" fontId="9" fillId="0" borderId="10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12" fillId="0" borderId="0" xfId="0" applyNumberFormat="1" applyFont="1" applyFill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13" xfId="0" applyNumberFormat="1" applyFont="1" applyFill="1" applyBorder="1" applyAlignment="1">
      <alignment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164" fontId="11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vertical="center"/>
    </xf>
    <xf numFmtId="0" fontId="9" fillId="0" borderId="13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7" fillId="0" borderId="7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9" fillId="0" borderId="23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9" fontId="0" fillId="0" borderId="1" xfId="0" applyNumberFormat="1" applyFill="1" applyBorder="1" applyAlignment="1">
      <alignment vertical="center"/>
    </xf>
    <xf numFmtId="10" fontId="0" fillId="0" borderId="0" xfId="0" applyNumberFormat="1" applyFill="1" applyAlignment="1">
      <alignment vertical="center"/>
    </xf>
    <xf numFmtId="164" fontId="9" fillId="0" borderId="16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3" fillId="0" borderId="22" xfId="0" applyNumberFormat="1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center" wrapText="1"/>
    </xf>
    <xf numFmtId="164" fontId="1" fillId="4" borderId="16" xfId="0" applyNumberFormat="1" applyFont="1" applyFill="1" applyBorder="1" applyAlignment="1">
      <alignment horizontal="left" vertical="center" wrapText="1"/>
    </xf>
    <xf numFmtId="164" fontId="3" fillId="4" borderId="0" xfId="0" applyNumberFormat="1" applyFont="1" applyFill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164" fontId="1" fillId="4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6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27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8" fillId="0" borderId="0" xfId="0" applyFont="1"/>
    <xf numFmtId="0" fontId="0" fillId="0" borderId="0" xfId="0" applyFont="1" applyAlignment="1"/>
    <xf numFmtId="0" fontId="17" fillId="0" borderId="0" xfId="0" applyFont="1"/>
    <xf numFmtId="0" fontId="20" fillId="7" borderId="33" xfId="0" applyFont="1" applyFill="1" applyBorder="1"/>
    <xf numFmtId="0" fontId="18" fillId="0" borderId="33" xfId="0" applyFont="1" applyBorder="1" applyAlignment="1"/>
    <xf numFmtId="0" fontId="18" fillId="0" borderId="33" xfId="0" applyFont="1" applyBorder="1"/>
    <xf numFmtId="0" fontId="21" fillId="0" borderId="33" xfId="0" applyFont="1" applyBorder="1"/>
    <xf numFmtId="0" fontId="18" fillId="9" borderId="34" xfId="0" applyFont="1" applyFill="1" applyBorder="1"/>
    <xf numFmtId="0" fontId="18" fillId="10" borderId="35" xfId="0" applyFont="1" applyFill="1" applyBorder="1"/>
    <xf numFmtId="0" fontId="18" fillId="0" borderId="36" xfId="0" applyFont="1" applyBorder="1"/>
    <xf numFmtId="0" fontId="22" fillId="10" borderId="37" xfId="0" applyFont="1" applyFill="1" applyBorder="1"/>
    <xf numFmtId="0" fontId="23" fillId="6" borderId="38" xfId="0" applyFont="1" applyFill="1" applyBorder="1" applyAlignment="1">
      <alignment horizontal="center"/>
    </xf>
    <xf numFmtId="0" fontId="18" fillId="11" borderId="0" xfId="0" applyFont="1" applyFill="1" applyBorder="1"/>
    <xf numFmtId="0" fontId="0" fillId="11" borderId="0" xfId="0" applyFont="1" applyFill="1" applyBorder="1" applyAlignment="1"/>
    <xf numFmtId="0" fontId="22" fillId="3" borderId="40" xfId="0" applyFont="1" applyFill="1" applyBorder="1"/>
    <xf numFmtId="164" fontId="18" fillId="3" borderId="24" xfId="0" applyNumberFormat="1" applyFont="1" applyFill="1" applyBorder="1"/>
    <xf numFmtId="165" fontId="18" fillId="12" borderId="41" xfId="0" applyNumberFormat="1" applyFont="1" applyFill="1" applyBorder="1"/>
    <xf numFmtId="165" fontId="18" fillId="3" borderId="42" xfId="0" applyNumberFormat="1" applyFont="1" applyFill="1" applyBorder="1"/>
    <xf numFmtId="0" fontId="0" fillId="11" borderId="0" xfId="0" applyFont="1" applyFill="1" applyBorder="1" applyAlignment="1">
      <alignment horizontal="center"/>
    </xf>
    <xf numFmtId="0" fontId="0" fillId="11" borderId="0" xfId="0" applyFont="1" applyFill="1" applyAlignment="1"/>
    <xf numFmtId="0" fontId="22" fillId="3" borderId="43" xfId="0" applyFont="1" applyFill="1" applyBorder="1"/>
    <xf numFmtId="164" fontId="18" fillId="3" borderId="6" xfId="0" applyNumberFormat="1" applyFont="1" applyFill="1" applyBorder="1"/>
    <xf numFmtId="165" fontId="18" fillId="3" borderId="41" xfId="0" applyNumberFormat="1" applyFont="1" applyFill="1" applyBorder="1"/>
    <xf numFmtId="0" fontId="0" fillId="11" borderId="44" xfId="0" applyFont="1" applyFill="1" applyBorder="1" applyAlignment="1"/>
    <xf numFmtId="0" fontId="22" fillId="3" borderId="45" xfId="0" applyFont="1" applyFill="1" applyBorder="1"/>
    <xf numFmtId="165" fontId="18" fillId="13" borderId="41" xfId="0" applyNumberFormat="1" applyFont="1" applyFill="1" applyBorder="1"/>
    <xf numFmtId="165" fontId="0" fillId="11" borderId="0" xfId="0" applyNumberFormat="1" applyFont="1" applyFill="1" applyBorder="1" applyAlignment="1">
      <alignment horizontal="center"/>
    </xf>
    <xf numFmtId="165" fontId="18" fillId="3" borderId="6" xfId="0" applyNumberFormat="1" applyFont="1" applyFill="1" applyBorder="1"/>
    <xf numFmtId="165" fontId="18" fillId="14" borderId="6" xfId="0" applyNumberFormat="1" applyFont="1" applyFill="1" applyBorder="1"/>
    <xf numFmtId="165" fontId="18" fillId="14" borderId="26" xfId="0" applyNumberFormat="1" applyFont="1" applyFill="1" applyBorder="1"/>
    <xf numFmtId="165" fontId="18" fillId="3" borderId="10" xfId="0" applyNumberFormat="1" applyFont="1" applyFill="1" applyBorder="1"/>
    <xf numFmtId="165" fontId="18" fillId="3" borderId="26" xfId="0" applyNumberFormat="1" applyFont="1" applyFill="1" applyBorder="1"/>
    <xf numFmtId="0" fontId="22" fillId="13" borderId="40" xfId="0" applyFont="1" applyFill="1" applyBorder="1"/>
    <xf numFmtId="165" fontId="18" fillId="13" borderId="6" xfId="0" applyNumberFormat="1" applyFont="1" applyFill="1" applyBorder="1"/>
    <xf numFmtId="165" fontId="18" fillId="13" borderId="26" xfId="0" applyNumberFormat="1" applyFont="1" applyFill="1" applyBorder="1"/>
    <xf numFmtId="0" fontId="0" fillId="15" borderId="0" xfId="0" applyFont="1" applyFill="1" applyBorder="1" applyAlignment="1">
      <alignment horizontal="center"/>
    </xf>
    <xf numFmtId="0" fontId="18" fillId="15" borderId="0" xfId="0" applyFont="1" applyFill="1" applyBorder="1"/>
    <xf numFmtId="0" fontId="24" fillId="15" borderId="40" xfId="0" applyFont="1" applyFill="1" applyBorder="1"/>
    <xf numFmtId="165" fontId="18" fillId="15" borderId="6" xfId="0" applyNumberFormat="1" applyFont="1" applyFill="1" applyBorder="1"/>
    <xf numFmtId="165" fontId="18" fillId="15" borderId="26" xfId="0" applyNumberFormat="1" applyFont="1" applyFill="1" applyBorder="1"/>
    <xf numFmtId="165" fontId="18" fillId="15" borderId="10" xfId="0" applyNumberFormat="1" applyFont="1" applyFill="1" applyBorder="1"/>
    <xf numFmtId="165" fontId="18" fillId="15" borderId="41" xfId="0" applyNumberFormat="1" applyFont="1" applyFill="1" applyBorder="1"/>
    <xf numFmtId="0" fontId="22" fillId="15" borderId="40" xfId="0" applyFont="1" applyFill="1" applyBorder="1"/>
    <xf numFmtId="164" fontId="18" fillId="15" borderId="6" xfId="0" applyNumberFormat="1" applyFont="1" applyFill="1" applyBorder="1"/>
    <xf numFmtId="0" fontId="18" fillId="15" borderId="0" xfId="0" applyFont="1" applyFill="1"/>
    <xf numFmtId="165" fontId="0" fillId="15" borderId="0" xfId="0" applyNumberFormat="1" applyFont="1" applyFill="1" applyAlignment="1">
      <alignment horizontal="center"/>
    </xf>
    <xf numFmtId="0" fontId="22" fillId="13" borderId="46" xfId="0" applyFont="1" applyFill="1" applyBorder="1"/>
    <xf numFmtId="164" fontId="18" fillId="15" borderId="8" xfId="0" applyNumberFormat="1" applyFont="1" applyFill="1" applyBorder="1"/>
    <xf numFmtId="165" fontId="18" fillId="15" borderId="47" xfId="0" applyNumberFormat="1" applyFont="1" applyFill="1" applyBorder="1"/>
    <xf numFmtId="164" fontId="0" fillId="15" borderId="0" xfId="0" applyNumberFormat="1" applyFont="1" applyFill="1" applyAlignment="1">
      <alignment horizontal="center"/>
    </xf>
    <xf numFmtId="0" fontId="25" fillId="0" borderId="48" xfId="0" applyFont="1" applyBorder="1"/>
    <xf numFmtId="164" fontId="25" fillId="0" borderId="49" xfId="0" applyNumberFormat="1" applyFont="1" applyBorder="1"/>
    <xf numFmtId="165" fontId="26" fillId="16" borderId="39" xfId="0" applyNumberFormat="1" applyFont="1" applyFill="1" applyBorder="1"/>
    <xf numFmtId="164" fontId="25" fillId="0" borderId="0" xfId="0" applyNumberFormat="1" applyFont="1"/>
    <xf numFmtId="0" fontId="25" fillId="0" borderId="0" xfId="0" applyFont="1"/>
    <xf numFmtId="0" fontId="27" fillId="0" borderId="0" xfId="0" applyFont="1" applyAlignment="1"/>
    <xf numFmtId="0" fontId="18" fillId="0" borderId="28" xfId="0" applyFont="1" applyBorder="1"/>
    <xf numFmtId="164" fontId="28" fillId="17" borderId="38" xfId="0" applyNumberFormat="1" applyFont="1" applyFill="1" applyBorder="1" applyAlignment="1"/>
    <xf numFmtId="164" fontId="28" fillId="17" borderId="29" xfId="0" applyNumberFormat="1" applyFont="1" applyFill="1" applyBorder="1" applyAlignment="1"/>
    <xf numFmtId="165" fontId="20" fillId="18" borderId="38" xfId="0" applyNumberFormat="1" applyFont="1" applyFill="1" applyBorder="1" applyAlignment="1"/>
    <xf numFmtId="165" fontId="30" fillId="18" borderId="38" xfId="0" applyNumberFormat="1" applyFont="1" applyFill="1" applyBorder="1"/>
    <xf numFmtId="165" fontId="20" fillId="18" borderId="38" xfId="0" applyNumberFormat="1" applyFont="1" applyFill="1" applyBorder="1"/>
    <xf numFmtId="165" fontId="31" fillId="19" borderId="38" xfId="0" applyNumberFormat="1" applyFont="1" applyFill="1" applyBorder="1"/>
    <xf numFmtId="165" fontId="22" fillId="0" borderId="0" xfId="0" applyNumberFormat="1" applyFont="1"/>
    <xf numFmtId="164" fontId="18" fillId="0" borderId="0" xfId="0" applyNumberFormat="1" applyFont="1" applyAlignment="1"/>
    <xf numFmtId="0" fontId="18" fillId="0" borderId="0" xfId="0" applyFont="1" applyAlignment="1"/>
    <xf numFmtId="164" fontId="32" fillId="0" borderId="0" xfId="0" applyNumberFormat="1" applyFont="1" applyBorder="1" applyAlignment="1"/>
    <xf numFmtId="165" fontId="23" fillId="0" borderId="0" xfId="0" applyNumberFormat="1" applyFont="1" applyBorder="1"/>
    <xf numFmtId="0" fontId="35" fillId="0" borderId="0" xfId="0" applyFont="1" applyAlignment="1"/>
    <xf numFmtId="164" fontId="35" fillId="0" borderId="0" xfId="0" applyNumberFormat="1" applyFont="1" applyAlignment="1"/>
    <xf numFmtId="0" fontId="31" fillId="0" borderId="0" xfId="0" applyFont="1" applyAlignment="1"/>
    <xf numFmtId="44" fontId="18" fillId="0" borderId="0" xfId="0" applyNumberFormat="1" applyFont="1"/>
    <xf numFmtId="0" fontId="33" fillId="0" borderId="0" xfId="0" applyFont="1" applyAlignment="1">
      <alignment horizontal="right"/>
    </xf>
    <xf numFmtId="164" fontId="18" fillId="0" borderId="0" xfId="0" applyNumberFormat="1" applyFont="1"/>
    <xf numFmtId="0" fontId="21" fillId="0" borderId="0" xfId="0" applyFont="1"/>
    <xf numFmtId="164" fontId="33" fillId="0" borderId="0" xfId="0" applyNumberFormat="1" applyFont="1" applyAlignment="1">
      <alignment horizontal="right"/>
    </xf>
    <xf numFmtId="165" fontId="18" fillId="0" borderId="0" xfId="0" applyNumberFormat="1" applyFont="1"/>
    <xf numFmtId="164" fontId="31" fillId="0" borderId="0" xfId="0" applyNumberFormat="1" applyFont="1" applyAlignment="1">
      <alignment horizontal="center"/>
    </xf>
    <xf numFmtId="164" fontId="32" fillId="0" borderId="0" xfId="0" applyNumberFormat="1" applyFont="1"/>
    <xf numFmtId="0" fontId="18" fillId="0" borderId="0" xfId="0" applyFont="1" applyBorder="1"/>
    <xf numFmtId="164" fontId="36" fillId="0" borderId="0" xfId="0" applyNumberFormat="1" applyFont="1" applyBorder="1"/>
    <xf numFmtId="165" fontId="18" fillId="0" borderId="0" xfId="0" applyNumberFormat="1" applyFont="1" applyBorder="1"/>
    <xf numFmtId="164" fontId="30" fillId="0" borderId="0" xfId="0" applyNumberFormat="1" applyFont="1"/>
    <xf numFmtId="164" fontId="37" fillId="0" borderId="0" xfId="0" applyNumberFormat="1" applyFont="1" applyBorder="1"/>
    <xf numFmtId="0" fontId="18" fillId="0" borderId="44" xfId="0" applyFont="1" applyBorder="1"/>
    <xf numFmtId="164" fontId="31" fillId="0" borderId="44" xfId="0" applyNumberFormat="1" applyFont="1" applyBorder="1"/>
    <xf numFmtId="164" fontId="18" fillId="0" borderId="44" xfId="0" applyNumberFormat="1" applyFont="1" applyBorder="1"/>
    <xf numFmtId="164" fontId="37" fillId="0" borderId="44" xfId="0" applyNumberFormat="1" applyFont="1" applyBorder="1"/>
    <xf numFmtId="0" fontId="0" fillId="11" borderId="0" xfId="0" applyFill="1" applyBorder="1"/>
    <xf numFmtId="0" fontId="0" fillId="0" borderId="33" xfId="0" applyBorder="1"/>
    <xf numFmtId="0" fontId="0" fillId="8" borderId="38" xfId="0" applyFill="1" applyBorder="1"/>
    <xf numFmtId="0" fontId="38" fillId="0" borderId="0" xfId="0" applyFont="1"/>
    <xf numFmtId="1" fontId="0" fillId="11" borderId="0" xfId="0" applyNumberFormat="1" applyFill="1" applyBorder="1" applyAlignment="1">
      <alignment horizontal="center"/>
    </xf>
    <xf numFmtId="1" fontId="0" fillId="3" borderId="52" xfId="0" applyNumberFormat="1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1" fontId="0" fillId="3" borderId="53" xfId="0" applyNumberFormat="1" applyFill="1" applyBorder="1" applyAlignment="1">
      <alignment horizontal="center"/>
    </xf>
    <xf numFmtId="0" fontId="27" fillId="0" borderId="0" xfId="0" applyFont="1"/>
    <xf numFmtId="0" fontId="0" fillId="11" borderId="53" xfId="0" applyFill="1" applyBorder="1" applyAlignment="1">
      <alignment horizontal="center"/>
    </xf>
    <xf numFmtId="1" fontId="0" fillId="11" borderId="53" xfId="0" applyNumberFormat="1" applyFill="1" applyBorder="1" applyAlignment="1">
      <alignment horizontal="center"/>
    </xf>
    <xf numFmtId="1" fontId="0" fillId="11" borderId="54" xfId="0" applyNumberFormat="1" applyFill="1" applyBorder="1" applyAlignment="1">
      <alignment horizontal="center"/>
    </xf>
    <xf numFmtId="1" fontId="0" fillId="11" borderId="0" xfId="0" applyNumberFormat="1" applyFont="1" applyFill="1" applyBorder="1" applyAlignment="1">
      <alignment horizontal="center"/>
    </xf>
    <xf numFmtId="1" fontId="17" fillId="11" borderId="38" xfId="0" applyNumberFormat="1" applyFont="1" applyFill="1" applyBorder="1" applyAlignment="1">
      <alignment horizontal="center"/>
    </xf>
    <xf numFmtId="164" fontId="17" fillId="11" borderId="38" xfId="0" applyNumberFormat="1" applyFont="1" applyFill="1" applyBorder="1" applyAlignment="1">
      <alignment horizontal="center"/>
    </xf>
    <xf numFmtId="1" fontId="17" fillId="11" borderId="0" xfId="0" applyNumberFormat="1" applyFont="1" applyFill="1" applyBorder="1" applyAlignment="1">
      <alignment horizontal="center"/>
    </xf>
    <xf numFmtId="164" fontId="17" fillId="11" borderId="0" xfId="0" applyNumberFormat="1" applyFont="1" applyFill="1" applyBorder="1" applyAlignment="1">
      <alignment horizontal="center"/>
    </xf>
    <xf numFmtId="0" fontId="17" fillId="11" borderId="0" xfId="0" applyFont="1" applyFill="1"/>
    <xf numFmtId="0" fontId="0" fillId="11" borderId="0" xfId="0" applyFill="1" applyAlignment="1">
      <alignment horizontal="center"/>
    </xf>
    <xf numFmtId="0" fontId="0" fillId="8" borderId="0" xfId="0" applyFill="1" applyAlignment="1">
      <alignment horizontal="center"/>
    </xf>
    <xf numFmtId="164" fontId="14" fillId="8" borderId="0" xfId="0" applyNumberFormat="1" applyFont="1" applyFill="1" applyAlignment="1">
      <alignment horizontal="center"/>
    </xf>
    <xf numFmtId="0" fontId="18" fillId="11" borderId="0" xfId="0" applyFont="1" applyFill="1"/>
    <xf numFmtId="164" fontId="14" fillId="11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7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11" borderId="0" xfId="0" applyNumberFormat="1" applyFill="1" applyBorder="1" applyAlignment="1">
      <alignment horizontal="center"/>
    </xf>
    <xf numFmtId="1" fontId="18" fillId="0" borderId="0" xfId="0" applyNumberFormat="1" applyFont="1"/>
    <xf numFmtId="0" fontId="18" fillId="0" borderId="0" xfId="0" applyFont="1" applyAlignment="1">
      <alignment vertical="center"/>
    </xf>
    <xf numFmtId="0" fontId="40" fillId="0" borderId="1" xfId="0" applyFont="1" applyBorder="1"/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41" fillId="0" borderId="1" xfId="0" applyNumberFormat="1" applyFont="1" applyBorder="1"/>
    <xf numFmtId="164" fontId="41" fillId="11" borderId="0" xfId="0" applyNumberFormat="1" applyFont="1" applyFill="1"/>
    <xf numFmtId="164" fontId="18" fillId="11" borderId="0" xfId="0" applyNumberFormat="1" applyFont="1" applyFill="1"/>
    <xf numFmtId="0" fontId="41" fillId="0" borderId="0" xfId="0" applyFont="1"/>
    <xf numFmtId="164" fontId="31" fillId="11" borderId="0" xfId="0" applyNumberFormat="1" applyFont="1" applyFill="1"/>
    <xf numFmtId="0" fontId="18" fillId="0" borderId="0" xfId="0" applyFont="1" applyAlignment="1">
      <alignment horizontal="right"/>
    </xf>
    <xf numFmtId="0" fontId="18" fillId="8" borderId="0" xfId="0" applyFont="1" applyFill="1"/>
    <xf numFmtId="164" fontId="31" fillId="8" borderId="0" xfId="0" applyNumberFormat="1" applyFont="1" applyFill="1"/>
    <xf numFmtId="0" fontId="41" fillId="0" borderId="1" xfId="0" applyFont="1" applyBorder="1" applyAlignment="1"/>
    <xf numFmtId="164" fontId="31" fillId="8" borderId="1" xfId="0" applyNumberFormat="1" applyFont="1" applyFill="1" applyBorder="1" applyAlignment="1"/>
    <xf numFmtId="0" fontId="18" fillId="11" borderId="0" xfId="0" applyFont="1" applyFill="1" applyAlignment="1">
      <alignment horizontal="right"/>
    </xf>
    <xf numFmtId="0" fontId="31" fillId="0" borderId="0" xfId="0" applyFont="1"/>
    <xf numFmtId="164" fontId="31" fillId="0" borderId="0" xfId="0" applyNumberFormat="1" applyFont="1"/>
    <xf numFmtId="0" fontId="18" fillId="0" borderId="0" xfId="0" applyFont="1" applyAlignment="1">
      <alignment horizontal="left"/>
    </xf>
    <xf numFmtId="164" fontId="31" fillId="11" borderId="0" xfId="0" applyNumberFormat="1" applyFont="1" applyFill="1" applyAlignment="1">
      <alignment horizontal="left"/>
    </xf>
    <xf numFmtId="0" fontId="41" fillId="11" borderId="0" xfId="0" applyFont="1" applyFill="1"/>
    <xf numFmtId="164" fontId="42" fillId="11" borderId="0" xfId="0" applyNumberFormat="1" applyFont="1" applyFill="1"/>
    <xf numFmtId="0" fontId="43" fillId="0" borderId="38" xfId="0" applyFont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2" fontId="43" fillId="0" borderId="28" xfId="0" applyNumberFormat="1" applyFont="1" applyBorder="1" applyAlignment="1">
      <alignment vertical="center" wrapText="1"/>
    </xf>
    <xf numFmtId="0" fontId="43" fillId="0" borderId="28" xfId="0" applyFont="1" applyBorder="1" applyAlignment="1">
      <alignment vertical="center" wrapText="1"/>
    </xf>
    <xf numFmtId="164" fontId="0" fillId="0" borderId="0" xfId="0" applyNumberFormat="1"/>
    <xf numFmtId="0" fontId="44" fillId="0" borderId="49" xfId="0" applyFont="1" applyBorder="1" applyAlignment="1">
      <alignment vertical="center"/>
    </xf>
    <xf numFmtId="0" fontId="44" fillId="0" borderId="56" xfId="0" applyFont="1" applyBorder="1" applyAlignment="1">
      <alignment vertical="center" wrapText="1"/>
    </xf>
    <xf numFmtId="0" fontId="44" fillId="0" borderId="56" xfId="0" applyFont="1" applyBorder="1" applyAlignment="1">
      <alignment horizontal="center" vertical="center"/>
    </xf>
    <xf numFmtId="0" fontId="44" fillId="0" borderId="28" xfId="0" applyFont="1" applyBorder="1" applyAlignment="1">
      <alignment vertical="center"/>
    </xf>
    <xf numFmtId="3" fontId="44" fillId="0" borderId="28" xfId="0" applyNumberFormat="1" applyFont="1" applyBorder="1" applyAlignment="1">
      <alignment vertical="center"/>
    </xf>
    <xf numFmtId="0" fontId="45" fillId="5" borderId="49" xfId="0" applyFont="1" applyFill="1" applyBorder="1" applyAlignment="1">
      <alignment vertical="center"/>
    </xf>
    <xf numFmtId="0" fontId="45" fillId="5" borderId="56" xfId="0" applyFont="1" applyFill="1" applyBorder="1" applyAlignment="1">
      <alignment horizontal="right" vertical="center" wrapText="1"/>
    </xf>
    <xf numFmtId="0" fontId="45" fillId="5" borderId="56" xfId="0" applyFont="1" applyFill="1" applyBorder="1" applyAlignment="1">
      <alignment horizontal="center" vertical="center"/>
    </xf>
    <xf numFmtId="2" fontId="46" fillId="5" borderId="28" xfId="0" applyNumberFormat="1" applyFont="1" applyFill="1" applyBorder="1" applyAlignment="1">
      <alignment vertical="center" wrapText="1"/>
    </xf>
    <xf numFmtId="0" fontId="45" fillId="5" borderId="28" xfId="0" applyFont="1" applyFill="1" applyBorder="1" applyAlignment="1">
      <alignment vertical="center"/>
    </xf>
    <xf numFmtId="3" fontId="45" fillId="5" borderId="28" xfId="0" applyNumberFormat="1" applyFont="1" applyFill="1" applyBorder="1" applyAlignment="1">
      <alignment vertical="center"/>
    </xf>
    <xf numFmtId="0" fontId="44" fillId="0" borderId="49" xfId="0" applyFont="1" applyFill="1" applyBorder="1" applyAlignment="1">
      <alignment vertical="center"/>
    </xf>
    <xf numFmtId="0" fontId="44" fillId="0" borderId="56" xfId="0" applyFont="1" applyFill="1" applyBorder="1" applyAlignment="1">
      <alignment vertical="center" wrapText="1"/>
    </xf>
    <xf numFmtId="0" fontId="44" fillId="0" borderId="56" xfId="0" applyFont="1" applyFill="1" applyBorder="1" applyAlignment="1">
      <alignment horizontal="center" vertical="center"/>
    </xf>
    <xf numFmtId="2" fontId="43" fillId="0" borderId="28" xfId="0" applyNumberFormat="1" applyFont="1" applyFill="1" applyBorder="1" applyAlignment="1">
      <alignment vertical="center" wrapText="1"/>
    </xf>
    <xf numFmtId="0" fontId="44" fillId="0" borderId="28" xfId="0" applyFont="1" applyFill="1" applyBorder="1" applyAlignment="1">
      <alignment vertical="center"/>
    </xf>
    <xf numFmtId="3" fontId="44" fillId="0" borderId="28" xfId="0" applyNumberFormat="1" applyFont="1" applyFill="1" applyBorder="1" applyAlignment="1">
      <alignment vertical="center"/>
    </xf>
    <xf numFmtId="0" fontId="45" fillId="0" borderId="28" xfId="0" applyFont="1" applyFill="1" applyBorder="1" applyAlignment="1">
      <alignment vertical="center"/>
    </xf>
    <xf numFmtId="2" fontId="44" fillId="0" borderId="28" xfId="0" applyNumberFormat="1" applyFont="1" applyBorder="1" applyAlignment="1">
      <alignment vertical="center" wrapText="1"/>
    </xf>
    <xf numFmtId="2" fontId="45" fillId="5" borderId="28" xfId="0" applyNumberFormat="1" applyFont="1" applyFill="1" applyBorder="1" applyAlignment="1">
      <alignment vertical="center" wrapText="1"/>
    </xf>
    <xf numFmtId="0" fontId="47" fillId="5" borderId="28" xfId="0" applyFont="1" applyFill="1" applyBorder="1" applyAlignment="1">
      <alignment vertical="center"/>
    </xf>
    <xf numFmtId="0" fontId="45" fillId="0" borderId="56" xfId="0" applyFont="1" applyBorder="1" applyAlignment="1">
      <alignment horizontal="center" vertical="center" wrapText="1"/>
    </xf>
    <xf numFmtId="2" fontId="45" fillId="0" borderId="28" xfId="0" applyNumberFormat="1" applyFont="1" applyBorder="1" applyAlignment="1">
      <alignment vertical="center" wrapText="1"/>
    </xf>
    <xf numFmtId="0" fontId="45" fillId="0" borderId="28" xfId="0" applyFont="1" applyBorder="1" applyAlignment="1">
      <alignment vertical="center" wrapText="1"/>
    </xf>
    <xf numFmtId="3" fontId="44" fillId="0" borderId="28" xfId="0" applyNumberFormat="1" applyFont="1" applyBorder="1" applyAlignment="1">
      <alignment vertical="center" wrapText="1"/>
    </xf>
    <xf numFmtId="0" fontId="45" fillId="5" borderId="56" xfId="0" applyFont="1" applyFill="1" applyBorder="1" applyAlignment="1">
      <alignment horizontal="center" vertical="center" wrapText="1"/>
    </xf>
    <xf numFmtId="3" fontId="45" fillId="5" borderId="28" xfId="0" applyNumberFormat="1" applyFont="1" applyFill="1" applyBorder="1" applyAlignment="1">
      <alignment vertical="center" wrapText="1"/>
    </xf>
    <xf numFmtId="0" fontId="44" fillId="0" borderId="56" xfId="0" applyFont="1" applyBorder="1" applyAlignment="1">
      <alignment horizontal="center" vertical="center" wrapText="1"/>
    </xf>
    <xf numFmtId="0" fontId="48" fillId="0" borderId="28" xfId="0" applyFont="1" applyBorder="1" applyAlignment="1"/>
    <xf numFmtId="164" fontId="17" fillId="0" borderId="0" xfId="0" applyNumberFormat="1" applyFont="1"/>
    <xf numFmtId="0" fontId="44" fillId="0" borderId="56" xfId="0" applyFont="1" applyBorder="1" applyAlignment="1">
      <alignment vertical="center"/>
    </xf>
    <xf numFmtId="2" fontId="44" fillId="0" borderId="28" xfId="0" applyNumberFormat="1" applyFont="1" applyFill="1" applyBorder="1" applyAlignment="1">
      <alignment vertical="center" wrapText="1"/>
    </xf>
    <xf numFmtId="0" fontId="44" fillId="0" borderId="56" xfId="0" applyFont="1" applyFill="1" applyBorder="1" applyAlignment="1">
      <alignment horizontal="left" vertical="center" wrapText="1"/>
    </xf>
    <xf numFmtId="2" fontId="44" fillId="5" borderId="28" xfId="0" applyNumberFormat="1" applyFont="1" applyFill="1" applyBorder="1" applyAlignment="1">
      <alignment vertical="center" wrapText="1"/>
    </xf>
    <xf numFmtId="0" fontId="44" fillId="20" borderId="49" xfId="0" applyFont="1" applyFill="1" applyBorder="1" applyAlignment="1">
      <alignment vertical="center"/>
    </xf>
    <xf numFmtId="0" fontId="44" fillId="20" borderId="56" xfId="0" applyFont="1" applyFill="1" applyBorder="1" applyAlignment="1">
      <alignment vertical="center" wrapText="1"/>
    </xf>
    <xf numFmtId="0" fontId="45" fillId="20" borderId="56" xfId="0" applyFont="1" applyFill="1" applyBorder="1" applyAlignment="1">
      <alignment horizontal="center" vertical="center"/>
    </xf>
    <xf numFmtId="2" fontId="45" fillId="20" borderId="28" xfId="0" applyNumberFormat="1" applyFont="1" applyFill="1" applyBorder="1" applyAlignment="1">
      <alignment vertical="center" wrapText="1"/>
    </xf>
    <xf numFmtId="0" fontId="45" fillId="20" borderId="28" xfId="0" applyFont="1" applyFill="1" applyBorder="1" applyAlignment="1">
      <alignment vertical="center"/>
    </xf>
    <xf numFmtId="3" fontId="44" fillId="20" borderId="28" xfId="0" applyNumberFormat="1" applyFont="1" applyFill="1" applyBorder="1" applyAlignment="1">
      <alignment vertical="center"/>
    </xf>
    <xf numFmtId="0" fontId="43" fillId="0" borderId="49" xfId="0" applyFont="1" applyBorder="1" applyAlignment="1">
      <alignment horizontal="center" vertical="center" wrapText="1"/>
    </xf>
    <xf numFmtId="0" fontId="43" fillId="0" borderId="56" xfId="0" applyFont="1" applyBorder="1" applyAlignment="1">
      <alignment horizontal="center" vertical="center" wrapText="1"/>
    </xf>
    <xf numFmtId="2" fontId="44" fillId="0" borderId="56" xfId="0" applyNumberFormat="1" applyFont="1" applyFill="1" applyBorder="1" applyAlignment="1">
      <alignment horizontal="right" vertical="center"/>
    </xf>
    <xf numFmtId="3" fontId="45" fillId="0" borderId="28" xfId="0" applyNumberFormat="1" applyFont="1" applyFill="1" applyBorder="1" applyAlignment="1">
      <alignment vertical="center"/>
    </xf>
    <xf numFmtId="2" fontId="44" fillId="0" borderId="56" xfId="0" applyNumberFormat="1" applyFont="1" applyBorder="1" applyAlignment="1">
      <alignment horizontal="right" vertical="center"/>
    </xf>
    <xf numFmtId="3" fontId="45" fillId="0" borderId="28" xfId="0" applyNumberFormat="1" applyFont="1" applyBorder="1" applyAlignment="1">
      <alignment vertical="center"/>
    </xf>
    <xf numFmtId="2" fontId="45" fillId="5" borderId="56" xfId="0" applyNumberFormat="1" applyFont="1" applyFill="1" applyBorder="1" applyAlignment="1">
      <alignment horizontal="right" vertical="center"/>
    </xf>
    <xf numFmtId="2" fontId="44" fillId="0" borderId="2" xfId="0" applyNumberFormat="1" applyFont="1" applyFill="1" applyBorder="1" applyAlignment="1">
      <alignment horizontal="right" vertical="center"/>
    </xf>
    <xf numFmtId="0" fontId="0" fillId="0" borderId="0" xfId="0" applyFill="1"/>
    <xf numFmtId="164" fontId="0" fillId="0" borderId="0" xfId="0" applyNumberFormat="1" applyFill="1"/>
    <xf numFmtId="0" fontId="44" fillId="5" borderId="49" xfId="0" applyFont="1" applyFill="1" applyBorder="1" applyAlignment="1">
      <alignment vertical="center"/>
    </xf>
    <xf numFmtId="0" fontId="44" fillId="5" borderId="56" xfId="0" applyFont="1" applyFill="1" applyBorder="1" applyAlignment="1">
      <alignment vertical="center" wrapText="1"/>
    </xf>
    <xf numFmtId="0" fontId="44" fillId="5" borderId="56" xfId="0" applyFont="1" applyFill="1" applyBorder="1" applyAlignment="1">
      <alignment horizontal="center" vertical="center"/>
    </xf>
    <xf numFmtId="2" fontId="44" fillId="5" borderId="56" xfId="0" applyNumberFormat="1" applyFont="1" applyFill="1" applyBorder="1" applyAlignment="1">
      <alignment horizontal="right" vertical="center"/>
    </xf>
    <xf numFmtId="3" fontId="44" fillId="5" borderId="28" xfId="0" applyNumberFormat="1" applyFont="1" applyFill="1" applyBorder="1" applyAlignment="1">
      <alignment vertical="center"/>
    </xf>
    <xf numFmtId="0" fontId="44" fillId="5" borderId="28" xfId="0" applyFont="1" applyFill="1" applyBorder="1" applyAlignment="1">
      <alignment vertical="center"/>
    </xf>
    <xf numFmtId="0" fontId="44" fillId="21" borderId="49" xfId="0" applyFont="1" applyFill="1" applyBorder="1" applyAlignment="1">
      <alignment vertical="center"/>
    </xf>
    <xf numFmtId="0" fontId="44" fillId="20" borderId="56" xfId="0" applyFont="1" applyFill="1" applyBorder="1" applyAlignment="1">
      <alignment horizontal="center" vertical="center"/>
    </xf>
    <xf numFmtId="2" fontId="44" fillId="20" borderId="56" xfId="0" applyNumberFormat="1" applyFont="1" applyFill="1" applyBorder="1" applyAlignment="1">
      <alignment horizontal="right" vertical="center"/>
    </xf>
    <xf numFmtId="0" fontId="44" fillId="20" borderId="28" xfId="0" applyFont="1" applyFill="1" applyBorder="1" applyAlignment="1">
      <alignment vertical="center"/>
    </xf>
    <xf numFmtId="0" fontId="0" fillId="0" borderId="0" xfId="0" applyAlignment="1">
      <alignment wrapText="1"/>
    </xf>
    <xf numFmtId="16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44" fillId="21" borderId="56" xfId="0" applyFont="1" applyFill="1" applyBorder="1" applyAlignment="1">
      <alignment vertical="center" wrapText="1"/>
    </xf>
    <xf numFmtId="0" fontId="44" fillId="21" borderId="56" xfId="0" applyFont="1" applyFill="1" applyBorder="1" applyAlignment="1">
      <alignment horizontal="center" vertical="center"/>
    </xf>
    <xf numFmtId="2" fontId="44" fillId="21" borderId="56" xfId="0" applyNumberFormat="1" applyFont="1" applyFill="1" applyBorder="1" applyAlignment="1">
      <alignment horizontal="right" vertical="center"/>
    </xf>
    <xf numFmtId="3" fontId="44" fillId="21" borderId="28" xfId="0" applyNumberFormat="1" applyFont="1" applyFill="1" applyBorder="1" applyAlignment="1">
      <alignment vertical="center"/>
    </xf>
    <xf numFmtId="3" fontId="45" fillId="21" borderId="28" xfId="0" applyNumberFormat="1" applyFont="1" applyFill="1" applyBorder="1" applyAlignment="1">
      <alignment vertical="center"/>
    </xf>
    <xf numFmtId="2" fontId="44" fillId="0" borderId="56" xfId="0" applyNumberFormat="1" applyFont="1" applyBorder="1" applyAlignment="1">
      <alignment vertical="center"/>
    </xf>
    <xf numFmtId="2" fontId="0" fillId="0" borderId="0" xfId="0" applyNumberFormat="1"/>
    <xf numFmtId="3" fontId="0" fillId="0" borderId="0" xfId="0" applyNumberFormat="1"/>
    <xf numFmtId="0" fontId="43" fillId="0" borderId="28" xfId="0" applyFont="1" applyFill="1" applyBorder="1" applyAlignment="1">
      <alignment vertical="center" wrapText="1"/>
    </xf>
    <xf numFmtId="2" fontId="46" fillId="0" borderId="28" xfId="0" applyNumberFormat="1" applyFont="1" applyFill="1" applyBorder="1" applyAlignment="1">
      <alignment vertical="center" wrapText="1"/>
    </xf>
    <xf numFmtId="2" fontId="45" fillId="0" borderId="28" xfId="0" applyNumberFormat="1" applyFont="1" applyFill="1" applyBorder="1" applyAlignment="1">
      <alignment vertical="center" wrapText="1"/>
    </xf>
    <xf numFmtId="0" fontId="47" fillId="0" borderId="28" xfId="0" applyFont="1" applyFill="1" applyBorder="1" applyAlignment="1">
      <alignment vertical="center"/>
    </xf>
    <xf numFmtId="0" fontId="45" fillId="0" borderId="28" xfId="0" applyFont="1" applyFill="1" applyBorder="1" applyAlignment="1">
      <alignment vertical="center" wrapText="1"/>
    </xf>
    <xf numFmtId="3" fontId="44" fillId="0" borderId="28" xfId="0" applyNumberFormat="1" applyFont="1" applyFill="1" applyBorder="1" applyAlignment="1">
      <alignment vertical="center" wrapText="1"/>
    </xf>
    <xf numFmtId="3" fontId="45" fillId="0" borderId="28" xfId="0" applyNumberFormat="1" applyFont="1" applyFill="1" applyBorder="1" applyAlignment="1">
      <alignment vertical="center" wrapText="1"/>
    </xf>
    <xf numFmtId="0" fontId="48" fillId="0" borderId="28" xfId="0" applyFont="1" applyFill="1" applyBorder="1" applyAlignment="1"/>
    <xf numFmtId="2" fontId="45" fillId="0" borderId="56" xfId="0" applyNumberFormat="1" applyFont="1" applyFill="1" applyBorder="1" applyAlignment="1">
      <alignment horizontal="right" vertical="center"/>
    </xf>
    <xf numFmtId="2" fontId="44" fillId="0" borderId="56" xfId="0" applyNumberFormat="1" applyFont="1" applyFill="1" applyBorder="1" applyAlignment="1">
      <alignment vertical="center"/>
    </xf>
    <xf numFmtId="2" fontId="0" fillId="0" borderId="0" xfId="0" applyNumberFormat="1" applyFill="1"/>
    <xf numFmtId="3" fontId="0" fillId="0" borderId="0" xfId="0" applyNumberFormat="1" applyFill="1"/>
    <xf numFmtId="0" fontId="43" fillId="0" borderId="38" xfId="0" applyFont="1" applyFill="1" applyBorder="1" applyAlignment="1">
      <alignment horizontal="center" vertical="center" wrapText="1"/>
    </xf>
    <xf numFmtId="0" fontId="43" fillId="0" borderId="51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vertical="center" wrapText="1"/>
    </xf>
    <xf numFmtId="0" fontId="45" fillId="0" borderId="49" xfId="0" applyFont="1" applyFill="1" applyBorder="1" applyAlignment="1">
      <alignment vertical="center"/>
    </xf>
    <xf numFmtId="0" fontId="45" fillId="0" borderId="56" xfId="0" applyFont="1" applyFill="1" applyBorder="1" applyAlignment="1">
      <alignment horizontal="right" vertical="center"/>
    </xf>
    <xf numFmtId="0" fontId="45" fillId="0" borderId="56" xfId="0" applyFont="1" applyFill="1" applyBorder="1" applyAlignment="1">
      <alignment horizontal="center" vertical="center"/>
    </xf>
    <xf numFmtId="166" fontId="46" fillId="0" borderId="28" xfId="0" applyNumberFormat="1" applyFont="1" applyFill="1" applyBorder="1" applyAlignment="1">
      <alignment vertical="center" wrapText="1"/>
    </xf>
    <xf numFmtId="3" fontId="45" fillId="0" borderId="38" xfId="0" applyNumberFormat="1" applyFont="1" applyFill="1" applyBorder="1" applyAlignment="1">
      <alignment vertical="center"/>
    </xf>
    <xf numFmtId="0" fontId="45" fillId="0" borderId="56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center" wrapText="1"/>
    </xf>
    <xf numFmtId="0" fontId="0" fillId="0" borderId="0" xfId="0" applyFont="1" applyFill="1"/>
    <xf numFmtId="166" fontId="46" fillId="0" borderId="2" xfId="0" applyNumberFormat="1" applyFont="1" applyFill="1" applyBorder="1" applyAlignment="1">
      <alignment vertical="center" wrapText="1"/>
    </xf>
    <xf numFmtId="0" fontId="44" fillId="0" borderId="56" xfId="0" applyFont="1" applyFill="1" applyBorder="1" applyAlignment="1">
      <alignment vertical="center"/>
    </xf>
    <xf numFmtId="166" fontId="44" fillId="0" borderId="56" xfId="0" applyNumberFormat="1" applyFont="1" applyFill="1" applyBorder="1" applyAlignment="1">
      <alignment vertical="center"/>
    </xf>
    <xf numFmtId="3" fontId="44" fillId="0" borderId="38" xfId="0" applyNumberFormat="1" applyFont="1" applyFill="1" applyBorder="1" applyAlignment="1">
      <alignment vertical="center"/>
    </xf>
    <xf numFmtId="0" fontId="17" fillId="0" borderId="0" xfId="0" applyFont="1" applyFill="1"/>
    <xf numFmtId="0" fontId="43" fillId="5" borderId="28" xfId="0" applyFont="1" applyFill="1" applyBorder="1" applyAlignment="1">
      <alignment vertical="center" wrapText="1"/>
    </xf>
    <xf numFmtId="0" fontId="43" fillId="5" borderId="38" xfId="0" applyFont="1" applyFill="1" applyBorder="1" applyAlignment="1">
      <alignment vertical="center" wrapText="1"/>
    </xf>
    <xf numFmtId="166" fontId="46" fillId="5" borderId="28" xfId="0" applyNumberFormat="1" applyFont="1" applyFill="1" applyBorder="1" applyAlignment="1">
      <alignment vertical="center" wrapText="1"/>
    </xf>
    <xf numFmtId="3" fontId="44" fillId="5" borderId="38" xfId="0" applyNumberFormat="1" applyFont="1" applyFill="1" applyBorder="1" applyAlignment="1">
      <alignment vertical="center"/>
    </xf>
    <xf numFmtId="166" fontId="46" fillId="5" borderId="2" xfId="0" applyNumberFormat="1" applyFont="1" applyFill="1" applyBorder="1" applyAlignment="1">
      <alignment vertical="center" wrapText="1"/>
    </xf>
    <xf numFmtId="2" fontId="47" fillId="5" borderId="28" xfId="0" applyNumberFormat="1" applyFont="1" applyFill="1" applyBorder="1" applyAlignment="1">
      <alignment vertical="center" wrapText="1"/>
    </xf>
    <xf numFmtId="0" fontId="44" fillId="11" borderId="49" xfId="0" applyFont="1" applyFill="1" applyBorder="1" applyAlignment="1">
      <alignment vertical="center"/>
    </xf>
    <xf numFmtId="0" fontId="44" fillId="11" borderId="56" xfId="0" applyFont="1" applyFill="1" applyBorder="1" applyAlignment="1">
      <alignment horizontal="center" vertical="center"/>
    </xf>
    <xf numFmtId="2" fontId="44" fillId="11" borderId="56" xfId="0" applyNumberFormat="1" applyFont="1" applyFill="1" applyBorder="1" applyAlignment="1">
      <alignment horizontal="right" vertical="center"/>
    </xf>
    <xf numFmtId="3" fontId="44" fillId="11" borderId="28" xfId="0" applyNumberFormat="1" applyFont="1" applyFill="1" applyBorder="1" applyAlignment="1">
      <alignment vertical="center"/>
    </xf>
    <xf numFmtId="164" fontId="17" fillId="11" borderId="0" xfId="0" applyNumberFormat="1" applyFont="1" applyFill="1"/>
    <xf numFmtId="0" fontId="44" fillId="11" borderId="56" xfId="0" applyFont="1" applyFill="1" applyBorder="1" applyAlignment="1">
      <alignment horizontal="left" vertical="center" wrapText="1"/>
    </xf>
    <xf numFmtId="164" fontId="50" fillId="0" borderId="0" xfId="0" applyNumberFormat="1" applyFont="1" applyFill="1" applyAlignment="1">
      <alignment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vertical="center"/>
    </xf>
    <xf numFmtId="10" fontId="51" fillId="0" borderId="0" xfId="0" applyNumberFormat="1" applyFont="1" applyFill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18" xfId="0" applyNumberFormat="1" applyFont="1" applyFill="1" applyBorder="1" applyAlignment="1">
      <alignment horizontal="center" vertical="center" wrapText="1"/>
    </xf>
    <xf numFmtId="164" fontId="51" fillId="0" borderId="0" xfId="0" applyNumberFormat="1" applyFont="1" applyFill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164" fontId="52" fillId="0" borderId="0" xfId="0" applyNumberFormat="1" applyFont="1" applyFill="1" applyBorder="1" applyAlignment="1">
      <alignment vertical="center"/>
    </xf>
    <xf numFmtId="0" fontId="53" fillId="0" borderId="57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 wrapText="1"/>
    </xf>
    <xf numFmtId="0" fontId="53" fillId="0" borderId="60" xfId="0" applyFont="1" applyBorder="1" applyAlignment="1">
      <alignment horizontal="center" vertical="center" wrapText="1"/>
    </xf>
    <xf numFmtId="0" fontId="53" fillId="0" borderId="61" xfId="0" applyFont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wrapText="1"/>
    </xf>
    <xf numFmtId="0" fontId="53" fillId="0" borderId="6" xfId="0" applyFont="1" applyBorder="1"/>
    <xf numFmtId="0" fontId="53" fillId="0" borderId="1" xfId="0" applyFont="1" applyBorder="1"/>
    <xf numFmtId="0" fontId="53" fillId="0" borderId="26" xfId="0" applyFont="1" applyBorder="1"/>
    <xf numFmtId="0" fontId="53" fillId="0" borderId="10" xfId="0" applyFont="1" applyBorder="1"/>
    <xf numFmtId="0" fontId="0" fillId="5" borderId="1" xfId="0" applyFill="1" applyBorder="1"/>
    <xf numFmtId="0" fontId="0" fillId="5" borderId="7" xfId="0" applyFill="1" applyBorder="1"/>
    <xf numFmtId="0" fontId="0" fillId="5" borderId="26" xfId="0" applyFill="1" applyBorder="1"/>
    <xf numFmtId="0" fontId="7" fillId="0" borderId="6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26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6" fontId="0" fillId="5" borderId="1" xfId="0" applyNumberFormat="1" applyFill="1" applyBorder="1" applyAlignment="1">
      <alignment horizontal="center"/>
    </xf>
    <xf numFmtId="6" fontId="0" fillId="5" borderId="26" xfId="0" applyNumberFormat="1" applyFill="1" applyBorder="1"/>
    <xf numFmtId="0" fontId="55" fillId="0" borderId="8" xfId="0" applyFont="1" applyBorder="1"/>
    <xf numFmtId="0" fontId="55" fillId="0" borderId="11" xfId="0" applyFont="1" applyBorder="1"/>
    <xf numFmtId="0" fontId="55" fillId="0" borderId="27" xfId="0" applyFont="1" applyBorder="1"/>
    <xf numFmtId="0" fontId="55" fillId="0" borderId="21" xfId="0" applyFont="1" applyBorder="1"/>
    <xf numFmtId="0" fontId="0" fillId="0" borderId="1" xfId="0" applyFill="1" applyBorder="1"/>
    <xf numFmtId="0" fontId="0" fillId="0" borderId="7" xfId="0" applyFill="1" applyBorder="1"/>
    <xf numFmtId="0" fontId="0" fillId="0" borderId="26" xfId="0" applyFill="1" applyBorder="1"/>
    <xf numFmtId="0" fontId="0" fillId="0" borderId="6" xfId="0" applyFont="1" applyBorder="1"/>
    <xf numFmtId="6" fontId="0" fillId="0" borderId="1" xfId="0" applyNumberFormat="1" applyFont="1" applyFill="1" applyBorder="1" applyAlignment="1">
      <alignment horizontal="center"/>
    </xf>
    <xf numFmtId="6" fontId="0" fillId="0" borderId="26" xfId="0" applyNumberFormat="1" applyFont="1" applyFill="1" applyBorder="1"/>
    <xf numFmtId="164" fontId="0" fillId="5" borderId="1" xfId="0" applyNumberFormat="1" applyFill="1" applyBorder="1"/>
    <xf numFmtId="164" fontId="0" fillId="5" borderId="26" xfId="0" applyNumberFormat="1" applyFill="1" applyBorder="1"/>
    <xf numFmtId="164" fontId="0" fillId="0" borderId="1" xfId="0" applyNumberFormat="1" applyFill="1" applyBorder="1"/>
    <xf numFmtId="164" fontId="0" fillId="0" borderId="26" xfId="0" applyNumberFormat="1" applyFill="1" applyBorder="1"/>
    <xf numFmtId="164" fontId="17" fillId="0" borderId="1" xfId="0" applyNumberFormat="1" applyFont="1" applyFill="1" applyBorder="1"/>
    <xf numFmtId="0" fontId="17" fillId="0" borderId="8" xfId="0" applyFont="1" applyBorder="1"/>
    <xf numFmtId="164" fontId="17" fillId="0" borderId="11" xfId="0" applyNumberFormat="1" applyFont="1" applyBorder="1"/>
    <xf numFmtId="164" fontId="17" fillId="0" borderId="11" xfId="0" applyNumberFormat="1" applyFont="1" applyFill="1" applyBorder="1"/>
    <xf numFmtId="164" fontId="17" fillId="0" borderId="27" xfId="0" applyNumberFormat="1" applyFont="1" applyFill="1" applyBorder="1"/>
    <xf numFmtId="0" fontId="0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3" borderId="1" xfId="0" applyFont="1" applyFill="1" applyBorder="1"/>
    <xf numFmtId="0" fontId="0" fillId="22" borderId="24" xfId="0" applyFont="1" applyFill="1" applyBorder="1" applyAlignment="1">
      <alignment horizontal="center" vertical="center"/>
    </xf>
    <xf numFmtId="0" fontId="0" fillId="22" borderId="9" xfId="0" applyFont="1" applyFill="1" applyBorder="1"/>
    <xf numFmtId="0" fontId="0" fillId="22" borderId="9" xfId="0" applyNumberFormat="1" applyFont="1" applyFill="1" applyBorder="1" applyAlignment="1">
      <alignment horizontal="center"/>
    </xf>
    <xf numFmtId="0" fontId="0" fillId="22" borderId="9" xfId="0" applyNumberFormat="1" applyFont="1" applyFill="1" applyBorder="1" applyAlignment="1">
      <alignment horizontal="center" vertical="center"/>
    </xf>
    <xf numFmtId="164" fontId="0" fillId="22" borderId="9" xfId="0" applyNumberFormat="1" applyFont="1" applyFill="1" applyBorder="1" applyAlignment="1">
      <alignment horizontal="center" vertical="center"/>
    </xf>
    <xf numFmtId="164" fontId="3" fillId="22" borderId="25" xfId="0" applyNumberFormat="1" applyFont="1" applyFill="1" applyBorder="1" applyAlignment="1">
      <alignment horizontal="center"/>
    </xf>
    <xf numFmtId="0" fontId="0" fillId="22" borderId="6" xfId="0" applyFont="1" applyFill="1" applyBorder="1" applyAlignment="1">
      <alignment horizontal="center" vertical="center"/>
    </xf>
    <xf numFmtId="0" fontId="0" fillId="22" borderId="1" xfId="0" applyFont="1" applyFill="1" applyBorder="1"/>
    <xf numFmtId="0" fontId="0" fillId="22" borderId="1" xfId="0" applyNumberFormat="1" applyFont="1" applyFill="1" applyBorder="1" applyAlignment="1">
      <alignment horizontal="center"/>
    </xf>
    <xf numFmtId="0" fontId="0" fillId="22" borderId="1" xfId="0" applyNumberFormat="1" applyFont="1" applyFill="1" applyBorder="1" applyAlignment="1">
      <alignment horizontal="center" vertical="center"/>
    </xf>
    <xf numFmtId="164" fontId="0" fillId="22" borderId="1" xfId="0" applyNumberFormat="1" applyFont="1" applyFill="1" applyBorder="1" applyAlignment="1">
      <alignment horizontal="center" vertical="center"/>
    </xf>
    <xf numFmtId="164" fontId="3" fillId="22" borderId="26" xfId="0" applyNumberFormat="1" applyFont="1" applyFill="1" applyBorder="1" applyAlignment="1">
      <alignment horizontal="center"/>
    </xf>
    <xf numFmtId="0" fontId="0" fillId="22" borderId="1" xfId="0" applyFont="1" applyFill="1" applyBorder="1" applyAlignment="1">
      <alignment horizontal="left" vertical="center" wrapText="1"/>
    </xf>
    <xf numFmtId="164" fontId="0" fillId="22" borderId="26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0" fontId="54" fillId="0" borderId="3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31" fillId="0" borderId="0" xfId="0" applyNumberFormat="1" applyFont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44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164" fontId="31" fillId="11" borderId="55" xfId="0" applyNumberFormat="1" applyFont="1" applyFill="1" applyBorder="1" applyAlignment="1">
      <alignment horizontal="center"/>
    </xf>
    <xf numFmtId="0" fontId="18" fillId="6" borderId="28" xfId="0" applyFont="1" applyFill="1" applyBorder="1" applyAlignment="1">
      <alignment horizontal="center"/>
    </xf>
    <xf numFmtId="0" fontId="18" fillId="6" borderId="29" xfId="0" applyFont="1" applyFill="1" applyBorder="1" applyAlignment="1">
      <alignment horizontal="center"/>
    </xf>
    <xf numFmtId="0" fontId="18" fillId="6" borderId="30" xfId="0" applyFont="1" applyFill="1" applyBorder="1" applyAlignment="1">
      <alignment horizontal="center"/>
    </xf>
    <xf numFmtId="0" fontId="18" fillId="6" borderId="31" xfId="0" applyFont="1" applyFill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9" fillId="0" borderId="32" xfId="0" applyFont="1" applyBorder="1"/>
    <xf numFmtId="0" fontId="18" fillId="8" borderId="31" xfId="0" applyFont="1" applyFill="1" applyBorder="1" applyAlignment="1">
      <alignment horizontal="center" wrapText="1"/>
    </xf>
    <xf numFmtId="0" fontId="19" fillId="8" borderId="39" xfId="0" applyFont="1" applyFill="1" applyBorder="1"/>
    <xf numFmtId="164" fontId="29" fillId="17" borderId="50" xfId="0" applyNumberFormat="1" applyFont="1" applyFill="1" applyBorder="1" applyAlignment="1">
      <alignment horizontal="center"/>
    </xf>
    <xf numFmtId="164" fontId="29" fillId="17" borderId="51" xfId="0" applyNumberFormat="1" applyFont="1" applyFill="1" applyBorder="1" applyAlignment="1">
      <alignment horizontal="center"/>
    </xf>
    <xf numFmtId="165" fontId="33" fillId="0" borderId="30" xfId="0" applyNumberFormat="1" applyFont="1" applyBorder="1" applyAlignment="1">
      <alignment horizontal="center"/>
    </xf>
    <xf numFmtId="0" fontId="33" fillId="0" borderId="30" xfId="0" applyFont="1" applyBorder="1" applyAlignment="1">
      <alignment horizontal="center"/>
    </xf>
    <xf numFmtId="3" fontId="34" fillId="11" borderId="30" xfId="0" applyNumberFormat="1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7" fillId="0" borderId="4" xfId="0" applyFont="1" applyBorder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53" fillId="0" borderId="58" xfId="0" applyFont="1" applyBorder="1" applyAlignment="1">
      <alignment horizontal="center" vertical="center" wrapText="1"/>
    </xf>
    <xf numFmtId="0" fontId="53" fillId="0" borderId="59" xfId="0" applyFont="1" applyBorder="1" applyAlignment="1">
      <alignment horizontal="center" vertical="center" wrapText="1"/>
    </xf>
    <xf numFmtId="0" fontId="53" fillId="0" borderId="51" xfId="0" applyFont="1" applyBorder="1" applyAlignment="1">
      <alignment horizontal="center" vertical="center" wrapText="1"/>
    </xf>
    <xf numFmtId="0" fontId="53" fillId="0" borderId="28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wrapText="1"/>
    </xf>
    <xf numFmtId="0" fontId="17" fillId="0" borderId="4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j&#225;t%20file-ok\MONON\&#220;zleti%20terv\2020\Konyha%202020%20tervez&#233;s%20(%20p&#233;nzforg+%20rezsi)2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éb rendezvények"/>
      <sheetName val="pénzforg egyh ovival"/>
      <sheetName val="rezsi egyh.ovival"/>
      <sheetName val="külsős ovis árak"/>
      <sheetName val="pénzforg."/>
      <sheetName val="rezsi"/>
      <sheetName val="szünidei étk."/>
    </sheetNames>
    <sheetDataSet>
      <sheetData sheetId="0">
        <row r="16">
          <cell r="C16">
            <v>969411.02362204727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D8">
            <v>102060</v>
          </cell>
          <cell r="G8">
            <v>1890</v>
          </cell>
          <cell r="J8">
            <v>4725</v>
          </cell>
          <cell r="M8">
            <v>4725</v>
          </cell>
        </row>
        <row r="9">
          <cell r="D9">
            <v>10710</v>
          </cell>
          <cell r="M9">
            <v>5355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97"/>
  <sheetViews>
    <sheetView topLeftCell="A148" workbookViewId="0">
      <selection activeCell="C156" sqref="C156"/>
    </sheetView>
  </sheetViews>
  <sheetFormatPr defaultColWidth="9.140625" defaultRowHeight="15.75" x14ac:dyDescent="0.25"/>
  <cols>
    <col min="1" max="1" width="4.7109375" style="58" customWidth="1"/>
    <col min="2" max="2" width="44.5703125" style="12" bestFit="1" customWidth="1"/>
    <col min="3" max="3" width="20.7109375" style="10" bestFit="1" customWidth="1"/>
    <col min="4" max="4" width="19.28515625" style="10" bestFit="1" customWidth="1"/>
    <col min="5" max="7" width="20.7109375" style="10" bestFit="1" customWidth="1"/>
    <col min="8" max="8" width="20.85546875" style="10" bestFit="1" customWidth="1"/>
    <col min="9" max="10" width="19.28515625" style="10" bestFit="1" customWidth="1"/>
    <col min="11" max="11" width="17.5703125" style="10" bestFit="1" customWidth="1"/>
    <col min="12" max="14" width="17.7109375" style="10" bestFit="1" customWidth="1"/>
    <col min="15" max="15" width="19.140625" style="10" bestFit="1" customWidth="1"/>
    <col min="16" max="16" width="19.28515625" style="10" bestFit="1" customWidth="1"/>
    <col min="17" max="17" width="19.140625" style="10" bestFit="1" customWidth="1"/>
    <col min="18" max="18" width="19.28515625" style="10" bestFit="1" customWidth="1"/>
    <col min="19" max="19" width="19.28515625" style="10" customWidth="1"/>
    <col min="20" max="20" width="19.28515625" style="2" customWidth="1"/>
    <col min="21" max="22" width="19.28515625" style="10" customWidth="1"/>
    <col min="23" max="24" width="20.85546875" style="10" bestFit="1" customWidth="1"/>
    <col min="25" max="25" width="44.5703125" style="12" bestFit="1" customWidth="1"/>
    <col min="26" max="26" width="15.7109375" style="10" bestFit="1" customWidth="1"/>
    <col min="27" max="31" width="14.42578125" style="10" customWidth="1"/>
    <col min="32" max="32" width="1.85546875" style="10" customWidth="1"/>
    <col min="33" max="33" width="11.28515625" style="10" bestFit="1" customWidth="1"/>
    <col min="34" max="16384" width="9.140625" style="10"/>
  </cols>
  <sheetData>
    <row r="1" spans="1:31" ht="18.75" x14ac:dyDescent="0.25">
      <c r="A1" s="439" t="s">
        <v>374</v>
      </c>
      <c r="B1" s="439"/>
      <c r="C1" s="439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/>
      <c r="U1" s="8"/>
      <c r="V1" s="8"/>
      <c r="W1" s="8"/>
      <c r="X1" s="368"/>
      <c r="Y1" s="8"/>
      <c r="Z1" s="8"/>
      <c r="AA1" s="8"/>
      <c r="AB1" s="8"/>
      <c r="AC1" s="8"/>
      <c r="AD1" s="8"/>
      <c r="AE1" s="8"/>
    </row>
    <row r="2" spans="1:31" ht="18.75" x14ac:dyDescent="0.25">
      <c r="A2" s="68"/>
      <c r="B2" s="68"/>
      <c r="C2" s="6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8"/>
      <c r="V2" s="8"/>
      <c r="W2" s="8"/>
      <c r="X2" s="368"/>
      <c r="Y2" s="68"/>
      <c r="Z2" s="8"/>
      <c r="AA2" s="8"/>
      <c r="AB2" s="8"/>
      <c r="AC2" s="8"/>
      <c r="AD2" s="8"/>
      <c r="AE2" s="8"/>
    </row>
    <row r="3" spans="1:31" ht="19.899999999999999" customHeight="1" thickBot="1" x14ac:dyDescent="0.3">
      <c r="A3" s="440" t="s">
        <v>0</v>
      </c>
      <c r="B3" s="440"/>
      <c r="C3" s="440"/>
      <c r="D3" s="11"/>
      <c r="E3" s="85"/>
      <c r="F3" s="11"/>
      <c r="G3" s="85"/>
      <c r="H3" s="11"/>
      <c r="I3" s="85"/>
      <c r="J3" s="11"/>
      <c r="K3" s="85"/>
      <c r="L3" s="11"/>
      <c r="M3" s="86"/>
      <c r="N3" s="11"/>
      <c r="O3" s="85"/>
      <c r="P3" s="11"/>
    </row>
    <row r="4" spans="1:31" ht="15.75" customHeight="1" x14ac:dyDescent="0.25">
      <c r="A4" s="441"/>
      <c r="B4" s="443" t="s">
        <v>1</v>
      </c>
      <c r="C4" s="13" t="s">
        <v>140</v>
      </c>
      <c r="D4" s="13" t="s">
        <v>111</v>
      </c>
      <c r="E4" s="13" t="s">
        <v>140</v>
      </c>
      <c r="F4" s="13" t="s">
        <v>111</v>
      </c>
      <c r="G4" s="13" t="s">
        <v>140</v>
      </c>
      <c r="H4" s="13" t="s">
        <v>111</v>
      </c>
      <c r="I4" s="13" t="s">
        <v>140</v>
      </c>
      <c r="J4" s="13" t="s">
        <v>111</v>
      </c>
      <c r="K4" s="13" t="s">
        <v>140</v>
      </c>
      <c r="L4" s="13" t="s">
        <v>111</v>
      </c>
      <c r="M4" s="13" t="s">
        <v>140</v>
      </c>
      <c r="N4" s="13" t="s">
        <v>111</v>
      </c>
      <c r="O4" s="13" t="s">
        <v>140</v>
      </c>
      <c r="P4" s="13" t="s">
        <v>111</v>
      </c>
      <c r="Q4" s="13" t="s">
        <v>140</v>
      </c>
      <c r="R4" s="14" t="s">
        <v>111</v>
      </c>
      <c r="S4" s="13" t="s">
        <v>140</v>
      </c>
      <c r="T4" s="14" t="s">
        <v>111</v>
      </c>
      <c r="U4" s="13" t="s">
        <v>140</v>
      </c>
      <c r="V4" s="14" t="s">
        <v>111</v>
      </c>
      <c r="W4" s="15" t="s">
        <v>140</v>
      </c>
      <c r="X4" s="369" t="s">
        <v>111</v>
      </c>
      <c r="Y4" s="443" t="s">
        <v>1</v>
      </c>
    </row>
    <row r="5" spans="1:31" ht="51.6" customHeight="1" x14ac:dyDescent="0.25">
      <c r="A5" s="442"/>
      <c r="B5" s="444"/>
      <c r="C5" s="445" t="s">
        <v>117</v>
      </c>
      <c r="D5" s="447"/>
      <c r="E5" s="447" t="s">
        <v>118</v>
      </c>
      <c r="F5" s="447"/>
      <c r="G5" s="447" t="s">
        <v>119</v>
      </c>
      <c r="H5" s="447"/>
      <c r="I5" s="445" t="s">
        <v>121</v>
      </c>
      <c r="J5" s="446"/>
      <c r="K5" s="445" t="s">
        <v>116</v>
      </c>
      <c r="L5" s="446"/>
      <c r="M5" s="445" t="s">
        <v>122</v>
      </c>
      <c r="N5" s="446"/>
      <c r="O5" s="447" t="s">
        <v>120</v>
      </c>
      <c r="P5" s="446"/>
      <c r="Q5" s="445" t="s">
        <v>115</v>
      </c>
      <c r="R5" s="446"/>
      <c r="S5" s="445" t="s">
        <v>114</v>
      </c>
      <c r="T5" s="446"/>
      <c r="U5" s="445" t="s">
        <v>113</v>
      </c>
      <c r="V5" s="446"/>
      <c r="W5" s="445" t="s">
        <v>5</v>
      </c>
      <c r="X5" s="446"/>
      <c r="Y5" s="444"/>
    </row>
    <row r="6" spans="1:31" ht="15" customHeight="1" x14ac:dyDescent="0.25">
      <c r="A6" s="17">
        <v>1</v>
      </c>
      <c r="B6" s="1" t="s">
        <v>6</v>
      </c>
      <c r="C6" s="2">
        <f>8712000+12*183000</f>
        <v>10908000</v>
      </c>
      <c r="D6" s="2">
        <v>15751735</v>
      </c>
      <c r="E6" s="2">
        <v>25287240</v>
      </c>
      <c r="F6" s="2">
        <v>24746191</v>
      </c>
      <c r="G6" s="2">
        <v>49296210</v>
      </c>
      <c r="H6" s="2">
        <v>38486731</v>
      </c>
      <c r="I6" s="2">
        <v>22759800</v>
      </c>
      <c r="J6" s="2">
        <v>27320460</v>
      </c>
      <c r="K6" s="2">
        <f>L6/3*4</f>
        <v>0</v>
      </c>
      <c r="L6" s="2"/>
      <c r="M6" s="2">
        <f>N6/3*4</f>
        <v>0</v>
      </c>
      <c r="N6" s="2">
        <v>0</v>
      </c>
      <c r="O6" s="2">
        <v>6542580</v>
      </c>
      <c r="P6" s="2">
        <v>4589934</v>
      </c>
      <c r="Q6" s="2">
        <v>2904000</v>
      </c>
      <c r="R6" s="2">
        <v>2494957</v>
      </c>
      <c r="S6" s="2">
        <v>6072000</v>
      </c>
      <c r="T6" s="73">
        <v>1490000</v>
      </c>
      <c r="U6" s="2">
        <v>4018410</v>
      </c>
      <c r="V6" s="2">
        <v>1194600</v>
      </c>
      <c r="W6" s="18">
        <f>C6+E6+G6+O6+I6+K6+M6+Q6+U6+S6</f>
        <v>127788240</v>
      </c>
      <c r="X6" s="18">
        <f>D6+F6+H6+P6+J6+L6+N6+R6+V6+T6</f>
        <v>116074608</v>
      </c>
      <c r="Y6" s="1" t="s">
        <v>6</v>
      </c>
    </row>
    <row r="7" spans="1:31" x14ac:dyDescent="0.25">
      <c r="A7" s="17">
        <v>2</v>
      </c>
      <c r="B7" s="1" t="s">
        <v>7</v>
      </c>
      <c r="C7" s="2">
        <f>C6*0.19</f>
        <v>2072520</v>
      </c>
      <c r="D7" s="2">
        <f>D6*0.19</f>
        <v>2992829.65</v>
      </c>
      <c r="E7" s="2">
        <v>4804576</v>
      </c>
      <c r="F7" s="2">
        <f>F6*0.19</f>
        <v>4701776.29</v>
      </c>
      <c r="G7" s="2">
        <v>9093175</v>
      </c>
      <c r="H7" s="2">
        <f>H6*0.19</f>
        <v>7312478.8899999997</v>
      </c>
      <c r="I7" s="2">
        <v>4324362</v>
      </c>
      <c r="J7" s="2">
        <f>J6*0.19</f>
        <v>5190887.4000000004</v>
      </c>
      <c r="K7" s="2">
        <f>L7/3*4</f>
        <v>0</v>
      </c>
      <c r="L7" s="2"/>
      <c r="M7" s="2">
        <f>N7/3*4</f>
        <v>0</v>
      </c>
      <c r="N7" s="2">
        <f>N6*0.285</f>
        <v>0</v>
      </c>
      <c r="O7" s="2">
        <v>1243090</v>
      </c>
      <c r="P7" s="2">
        <f>P6*0.19</f>
        <v>872087.46</v>
      </c>
      <c r="Q7" s="2">
        <v>551760</v>
      </c>
      <c r="R7" s="2">
        <f>R6*0.19</f>
        <v>474041.83</v>
      </c>
      <c r="S7" s="2">
        <v>1153680</v>
      </c>
      <c r="T7" s="73">
        <f>T6*0.19</f>
        <v>283100</v>
      </c>
      <c r="U7" s="2">
        <v>763498</v>
      </c>
      <c r="V7" s="2">
        <f>V6*0.205</f>
        <v>244892.99999999997</v>
      </c>
      <c r="W7" s="18">
        <f>C7+E7+G7+O7+I7+K7+M7+Q7+U7+S7</f>
        <v>24006661</v>
      </c>
      <c r="X7" s="2">
        <f>D7+F7+H7+P7+J7+L7+N7+R7+T7+V7</f>
        <v>22072094.519999996</v>
      </c>
      <c r="Y7" s="1" t="s">
        <v>7</v>
      </c>
    </row>
    <row r="8" spans="1:31" x14ac:dyDescent="0.25">
      <c r="A8" s="17">
        <v>3</v>
      </c>
      <c r="B8" s="1" t="s">
        <v>8</v>
      </c>
      <c r="C8" s="2">
        <v>0</v>
      </c>
      <c r="D8" s="2">
        <v>0</v>
      </c>
      <c r="E8" s="2">
        <v>200000</v>
      </c>
      <c r="F8" s="2">
        <v>200000</v>
      </c>
      <c r="G8" s="2"/>
      <c r="H8" s="2">
        <v>0</v>
      </c>
      <c r="I8" s="2">
        <v>0</v>
      </c>
      <c r="J8" s="2">
        <v>0</v>
      </c>
      <c r="K8" s="2">
        <f>L8/3*4</f>
        <v>0</v>
      </c>
      <c r="L8" s="2"/>
      <c r="M8" s="2">
        <f>N8/3*4</f>
        <v>0</v>
      </c>
      <c r="N8" s="2">
        <v>0</v>
      </c>
      <c r="O8" s="2">
        <f>P8/3*4</f>
        <v>0</v>
      </c>
      <c r="P8" s="2">
        <v>0</v>
      </c>
      <c r="Q8" s="2">
        <v>65000</v>
      </c>
      <c r="R8" s="3">
        <v>65000</v>
      </c>
      <c r="S8" s="3">
        <v>0</v>
      </c>
      <c r="U8" s="3">
        <v>0</v>
      </c>
      <c r="V8" s="3"/>
      <c r="W8" s="18">
        <f>C8+E8+G8+O8+I8+K8+M8+Q8+U8+S8</f>
        <v>265000</v>
      </c>
      <c r="X8" s="2">
        <f>D8+F8+H8+P8+J8+L8+N8+R8+T8+V8</f>
        <v>265000</v>
      </c>
      <c r="Y8" s="1" t="s">
        <v>8</v>
      </c>
    </row>
    <row r="9" spans="1:31" ht="16.5" thickBot="1" x14ac:dyDescent="0.3">
      <c r="A9" s="19"/>
      <c r="B9" s="20" t="s">
        <v>1</v>
      </c>
      <c r="C9" s="21">
        <f>SUM(C6:C8)</f>
        <v>12980520</v>
      </c>
      <c r="D9" s="21">
        <f t="shared" ref="D9:V9" si="0">SUM(D6:D8)</f>
        <v>18744564.649999999</v>
      </c>
      <c r="E9" s="21">
        <f t="shared" si="0"/>
        <v>30291816</v>
      </c>
      <c r="F9" s="21">
        <f t="shared" si="0"/>
        <v>29647967.289999999</v>
      </c>
      <c r="G9" s="21">
        <f t="shared" si="0"/>
        <v>58389385</v>
      </c>
      <c r="H9" s="21">
        <f t="shared" si="0"/>
        <v>45799209.890000001</v>
      </c>
      <c r="I9" s="21">
        <f t="shared" si="0"/>
        <v>27084162</v>
      </c>
      <c r="J9" s="21">
        <f t="shared" si="0"/>
        <v>32511347.399999999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>SUM(O6:O8)</f>
        <v>7785670</v>
      </c>
      <c r="P9" s="21">
        <f>SUM(P6:P8)</f>
        <v>5462021.46</v>
      </c>
      <c r="Q9" s="21">
        <f t="shared" si="0"/>
        <v>3520760</v>
      </c>
      <c r="R9" s="21">
        <f t="shared" si="0"/>
        <v>3033998.83</v>
      </c>
      <c r="S9" s="21">
        <f t="shared" si="0"/>
        <v>7225680</v>
      </c>
      <c r="T9" s="21">
        <f>SUM(T6:T8)</f>
        <v>1773100</v>
      </c>
      <c r="U9" s="21">
        <f>SUM(U6:U8)</f>
        <v>4781908</v>
      </c>
      <c r="V9" s="21">
        <f t="shared" si="0"/>
        <v>1439493</v>
      </c>
      <c r="W9" s="23">
        <f>SUM(W6:W8)</f>
        <v>152059901</v>
      </c>
      <c r="X9" s="370">
        <f>SUM(X6:X8)</f>
        <v>138411702.51999998</v>
      </c>
      <c r="Y9" s="20" t="s">
        <v>1</v>
      </c>
    </row>
    <row r="10" spans="1:31" ht="24" customHeight="1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16"/>
      <c r="U10" s="25"/>
      <c r="V10" s="25"/>
      <c r="W10" s="25"/>
      <c r="X10" s="79"/>
      <c r="Y10" s="25"/>
    </row>
    <row r="11" spans="1:31" s="28" customFormat="1" ht="28.5" x14ac:dyDescent="0.25">
      <c r="A11" s="26"/>
      <c r="B11" s="27" t="s">
        <v>78</v>
      </c>
      <c r="C11" s="28">
        <v>0.22</v>
      </c>
      <c r="D11" s="28">
        <v>0.3362</v>
      </c>
      <c r="E11" s="28">
        <v>0.18</v>
      </c>
      <c r="F11" s="28">
        <v>0.126</v>
      </c>
      <c r="G11" s="28">
        <v>0.3</v>
      </c>
      <c r="H11" s="28">
        <v>0.19900000000000001</v>
      </c>
      <c r="K11" s="28">
        <v>0.02</v>
      </c>
      <c r="L11" s="28">
        <v>0.01</v>
      </c>
      <c r="M11" s="28">
        <v>0.03</v>
      </c>
      <c r="N11" s="28">
        <v>0.01</v>
      </c>
      <c r="O11" s="28">
        <v>0.13</v>
      </c>
      <c r="P11" s="28">
        <v>0.2417</v>
      </c>
      <c r="Q11" s="28">
        <v>7.0000000000000007E-2</v>
      </c>
      <c r="R11" s="28">
        <v>3.9699999999999999E-2</v>
      </c>
      <c r="S11" s="28">
        <v>0.03</v>
      </c>
      <c r="T11" s="29">
        <v>2.7400000000000001E-2</v>
      </c>
      <c r="U11" s="28">
        <v>0.02</v>
      </c>
      <c r="V11" s="28">
        <v>0.01</v>
      </c>
      <c r="W11" s="28">
        <f>U11+S11+Q11+O11+M11+K11+G11+E11+C11+I11</f>
        <v>1</v>
      </c>
      <c r="X11" s="371">
        <f>V11+T11+R11+P11+N11+L11+H11+F11+D11+J11</f>
        <v>1</v>
      </c>
      <c r="Y11" s="27" t="s">
        <v>78</v>
      </c>
    </row>
    <row r="12" spans="1:31" ht="51.6" customHeight="1" thickBot="1" x14ac:dyDescent="0.3">
      <c r="A12" s="24"/>
      <c r="B12" s="25"/>
      <c r="C12" s="445" t="s">
        <v>117</v>
      </c>
      <c r="D12" s="447"/>
      <c r="E12" s="447" t="s">
        <v>118</v>
      </c>
      <c r="F12" s="447"/>
      <c r="G12" s="447" t="s">
        <v>119</v>
      </c>
      <c r="H12" s="447"/>
      <c r="I12" s="445" t="s">
        <v>121</v>
      </c>
      <c r="J12" s="446"/>
      <c r="K12" s="445" t="s">
        <v>116</v>
      </c>
      <c r="L12" s="446"/>
      <c r="M12" s="445" t="s">
        <v>122</v>
      </c>
      <c r="N12" s="446"/>
      <c r="O12" s="447" t="s">
        <v>120</v>
      </c>
      <c r="P12" s="446"/>
      <c r="Q12" s="445" t="s">
        <v>115</v>
      </c>
      <c r="R12" s="446"/>
      <c r="S12" s="445" t="s">
        <v>114</v>
      </c>
      <c r="T12" s="446"/>
      <c r="U12" s="445" t="s">
        <v>113</v>
      </c>
      <c r="V12" s="446"/>
      <c r="W12" s="445" t="s">
        <v>5</v>
      </c>
      <c r="X12" s="446"/>
      <c r="Y12" s="25"/>
    </row>
    <row r="13" spans="1:31" ht="15.75" customHeight="1" thickBot="1" x14ac:dyDescent="0.3">
      <c r="A13" s="30" t="s">
        <v>9</v>
      </c>
      <c r="B13" s="31" t="s">
        <v>10</v>
      </c>
      <c r="C13" s="13" t="s">
        <v>140</v>
      </c>
      <c r="D13" s="13" t="s">
        <v>111</v>
      </c>
      <c r="E13" s="13" t="s">
        <v>140</v>
      </c>
      <c r="F13" s="13" t="s">
        <v>111</v>
      </c>
      <c r="G13" s="13" t="s">
        <v>140</v>
      </c>
      <c r="H13" s="13" t="s">
        <v>111</v>
      </c>
      <c r="I13" s="13" t="s">
        <v>140</v>
      </c>
      <c r="J13" s="13" t="s">
        <v>111</v>
      </c>
      <c r="K13" s="13" t="s">
        <v>140</v>
      </c>
      <c r="L13" s="13" t="s">
        <v>111</v>
      </c>
      <c r="M13" s="13" t="s">
        <v>140</v>
      </c>
      <c r="N13" s="13" t="s">
        <v>111</v>
      </c>
      <c r="O13" s="13" t="s">
        <v>140</v>
      </c>
      <c r="P13" s="13" t="s">
        <v>111</v>
      </c>
      <c r="Q13" s="13" t="s">
        <v>140</v>
      </c>
      <c r="R13" s="14" t="s">
        <v>111</v>
      </c>
      <c r="S13" s="13" t="s">
        <v>140</v>
      </c>
      <c r="T13" s="14" t="s">
        <v>111</v>
      </c>
      <c r="U13" s="13" t="s">
        <v>140</v>
      </c>
      <c r="V13" s="14" t="s">
        <v>111</v>
      </c>
      <c r="W13" s="15" t="s">
        <v>140</v>
      </c>
      <c r="X13" s="369" t="s">
        <v>111</v>
      </c>
      <c r="Y13" s="31" t="s">
        <v>10</v>
      </c>
    </row>
    <row r="14" spans="1:31" x14ac:dyDescent="0.25">
      <c r="A14" s="17">
        <v>80</v>
      </c>
      <c r="B14" s="69" t="s">
        <v>145</v>
      </c>
      <c r="C14" s="67"/>
      <c r="D14" s="67"/>
      <c r="E14" s="67"/>
      <c r="F14" s="67"/>
      <c r="G14" s="67">
        <v>95000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75"/>
      <c r="S14" s="75"/>
      <c r="T14" s="76"/>
      <c r="U14" s="75"/>
      <c r="V14" s="75"/>
      <c r="W14" s="18">
        <f>C14+E14+G14+O14+I14+K14+M14+Q14+U14+S14</f>
        <v>95000</v>
      </c>
      <c r="X14" s="2">
        <f>D14+F14+H14+P14+J14+L14+N14+R14+T14+V14</f>
        <v>0</v>
      </c>
      <c r="Y14" s="69" t="s">
        <v>145</v>
      </c>
    </row>
    <row r="15" spans="1:31" ht="31.5" x14ac:dyDescent="0.25">
      <c r="A15" s="17">
        <v>4</v>
      </c>
      <c r="B15" s="1" t="s">
        <v>102</v>
      </c>
      <c r="D15" s="2"/>
      <c r="F15" s="2"/>
      <c r="G15" s="10">
        <f>1100000-3422</f>
        <v>1096578</v>
      </c>
      <c r="H15" s="2">
        <f>350885+457+4724+2980+60+5118+9800+4600+4704+218250+21900+3000+12204+71615+2800+5340+46409+37370+1526+24126+7795+1526+10000+7096+6488+6693+2756+15630+2100+7360+4440+22835+9490+13839+2276+10435+3583+3150+1234+1593+22031+4094+8850+269+28000+8800</f>
        <v>1040231</v>
      </c>
      <c r="I15" s="10">
        <v>950000</v>
      </c>
      <c r="J15" s="2">
        <f>7874+2362+7874+7874+7874+7874+3937+90070+9651+262507+24000+48000+26000+26000+7252+85040+5511+15748+5000+6626+28500+20866+54999+3783+24795+847+2362+1220+8710+16440+62992</f>
        <v>882588</v>
      </c>
      <c r="K15" s="2"/>
      <c r="L15" s="10">
        <v>0</v>
      </c>
      <c r="M15" s="10">
        <v>0</v>
      </c>
      <c r="N15" s="2">
        <f>52571</f>
        <v>52571</v>
      </c>
      <c r="P15" s="2"/>
      <c r="Q15" s="2"/>
      <c r="R15" s="2">
        <v>0</v>
      </c>
      <c r="S15" s="10">
        <v>15000</v>
      </c>
      <c r="T15" s="2">
        <f>756+11500</f>
        <v>12256</v>
      </c>
      <c r="U15" s="2"/>
      <c r="V15" s="2"/>
      <c r="W15" s="18">
        <f>C15+E15+G15+O15+I15+K15+M15+Q15+U15+S15</f>
        <v>2061578</v>
      </c>
      <c r="X15" s="2">
        <f>D15+F15+H15+P15+J15+L15+N15+R15+T15+V15</f>
        <v>1987646</v>
      </c>
      <c r="Y15" s="1" t="s">
        <v>102</v>
      </c>
    </row>
    <row r="16" spans="1:31" x14ac:dyDescent="0.25">
      <c r="A16" s="17">
        <v>5</v>
      </c>
      <c r="B16" s="1" t="s">
        <v>36</v>
      </c>
      <c r="D16" s="2"/>
      <c r="F16" s="2"/>
      <c r="H16" s="66"/>
      <c r="I16" s="10">
        <v>1500000</v>
      </c>
      <c r="J16" s="2">
        <v>1488362</v>
      </c>
      <c r="K16" s="2"/>
      <c r="L16" s="10">
        <v>0</v>
      </c>
      <c r="N16" s="2"/>
      <c r="P16" s="66"/>
      <c r="Q16" s="66"/>
      <c r="R16" s="2">
        <v>0</v>
      </c>
      <c r="U16" s="2"/>
      <c r="V16" s="2"/>
      <c r="W16" s="18">
        <f t="shared" ref="W16:W80" si="1">C16+E16+G16+O16+I16+K16+M16+Q16+U16+S16</f>
        <v>1500000</v>
      </c>
      <c r="X16" s="2">
        <f t="shared" ref="X16:X80" si="2">D16+F16+H16+P16+J16+L16+N16+R16+T16+V16</f>
        <v>1488362</v>
      </c>
      <c r="Y16" s="1" t="s">
        <v>36</v>
      </c>
    </row>
    <row r="17" spans="1:25" x14ac:dyDescent="0.25">
      <c r="A17" s="17">
        <v>6</v>
      </c>
      <c r="B17" s="1" t="s">
        <v>31</v>
      </c>
      <c r="D17" s="2"/>
      <c r="F17" s="2"/>
      <c r="G17" s="10">
        <v>35000</v>
      </c>
      <c r="H17" s="2">
        <f>7848+9960+15524</f>
        <v>33332</v>
      </c>
      <c r="I17" s="10">
        <v>450000</v>
      </c>
      <c r="J17" s="2">
        <f>76908+108720+126960+136080</f>
        <v>448668</v>
      </c>
      <c r="K17" s="2"/>
      <c r="L17" s="10">
        <v>0</v>
      </c>
      <c r="N17" s="2"/>
      <c r="P17" s="2"/>
      <c r="Q17" s="2"/>
      <c r="R17" s="2">
        <v>0</v>
      </c>
      <c r="U17" s="2"/>
      <c r="V17" s="2"/>
      <c r="W17" s="18">
        <f t="shared" si="1"/>
        <v>485000</v>
      </c>
      <c r="X17" s="2">
        <f t="shared" si="2"/>
        <v>482000</v>
      </c>
      <c r="Y17" s="1" t="s">
        <v>31</v>
      </c>
    </row>
    <row r="18" spans="1:25" x14ac:dyDescent="0.25">
      <c r="A18" s="17">
        <v>7</v>
      </c>
      <c r="B18" s="1" t="s">
        <v>32</v>
      </c>
      <c r="D18" s="2"/>
      <c r="F18" s="2"/>
      <c r="H18" s="2"/>
      <c r="J18" s="2"/>
      <c r="K18" s="2"/>
      <c r="L18" s="10">
        <v>0</v>
      </c>
      <c r="N18" s="2"/>
      <c r="O18" s="10">
        <v>60000</v>
      </c>
      <c r="P18" s="2">
        <f>9076+18054+9027</f>
        <v>36157</v>
      </c>
      <c r="Q18" s="2"/>
      <c r="R18" s="2">
        <v>0</v>
      </c>
      <c r="U18" s="2"/>
      <c r="V18" s="2"/>
      <c r="W18" s="18">
        <f t="shared" si="1"/>
        <v>60000</v>
      </c>
      <c r="X18" s="2">
        <f t="shared" si="2"/>
        <v>36157</v>
      </c>
      <c r="Y18" s="1" t="s">
        <v>32</v>
      </c>
    </row>
    <row r="19" spans="1:25" x14ac:dyDescent="0.25">
      <c r="A19" s="17">
        <v>8</v>
      </c>
      <c r="B19" s="1" t="s">
        <v>33</v>
      </c>
      <c r="D19" s="2"/>
      <c r="F19" s="2"/>
      <c r="H19" s="2"/>
      <c r="I19" s="10">
        <v>450000</v>
      </c>
      <c r="J19" s="2">
        <f>110796+110818+110796+110796</f>
        <v>443206</v>
      </c>
      <c r="K19" s="2"/>
      <c r="L19" s="10">
        <v>0</v>
      </c>
      <c r="N19" s="2"/>
      <c r="P19" s="2"/>
      <c r="Q19" s="2"/>
      <c r="R19" s="2">
        <v>0</v>
      </c>
      <c r="U19" s="2"/>
      <c r="V19" s="2"/>
      <c r="W19" s="18">
        <f t="shared" si="1"/>
        <v>450000</v>
      </c>
      <c r="X19" s="2">
        <f t="shared" si="2"/>
        <v>443206</v>
      </c>
      <c r="Y19" s="1" t="s">
        <v>33</v>
      </c>
    </row>
    <row r="20" spans="1:25" ht="15.6" customHeight="1" x14ac:dyDescent="0.25">
      <c r="A20" s="17">
        <v>9</v>
      </c>
      <c r="B20" s="1" t="s">
        <v>90</v>
      </c>
      <c r="C20" s="10">
        <v>140000</v>
      </c>
      <c r="D20" s="2"/>
      <c r="E20" s="10">
        <v>80000</v>
      </c>
      <c r="F20" s="2"/>
      <c r="H20" s="2"/>
      <c r="J20" s="2"/>
      <c r="K20" s="2"/>
      <c r="N20" s="2"/>
      <c r="P20" s="2"/>
      <c r="Q20" s="2"/>
      <c r="R20" s="2"/>
      <c r="U20" s="2"/>
      <c r="V20" s="2"/>
      <c r="W20" s="18">
        <f t="shared" si="1"/>
        <v>220000</v>
      </c>
      <c r="X20" s="2">
        <f t="shared" si="2"/>
        <v>0</v>
      </c>
      <c r="Y20" s="1" t="s">
        <v>90</v>
      </c>
    </row>
    <row r="21" spans="1:25" ht="15.6" customHeight="1" x14ac:dyDescent="0.25">
      <c r="A21" s="17">
        <v>10</v>
      </c>
      <c r="B21" s="1" t="s">
        <v>177</v>
      </c>
      <c r="D21" s="2"/>
      <c r="F21" s="2"/>
      <c r="G21" s="10">
        <v>185000</v>
      </c>
      <c r="H21" s="2"/>
      <c r="J21" s="2"/>
      <c r="K21" s="2"/>
      <c r="N21" s="2"/>
      <c r="P21" s="2"/>
      <c r="Q21" s="2"/>
      <c r="R21" s="2"/>
      <c r="U21" s="2"/>
      <c r="V21" s="2"/>
      <c r="W21" s="18">
        <f t="shared" si="1"/>
        <v>185000</v>
      </c>
      <c r="X21" s="2">
        <f t="shared" si="2"/>
        <v>0</v>
      </c>
      <c r="Y21" s="1" t="s">
        <v>177</v>
      </c>
    </row>
    <row r="22" spans="1:25" ht="15.75" customHeight="1" x14ac:dyDescent="0.25">
      <c r="A22" s="17">
        <v>84</v>
      </c>
      <c r="B22" s="70" t="s">
        <v>143</v>
      </c>
      <c r="C22" s="67"/>
      <c r="D22" s="67"/>
      <c r="E22" s="67"/>
      <c r="F22" s="67"/>
      <c r="G22" s="67">
        <v>1625000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75"/>
      <c r="S22" s="75"/>
      <c r="T22" s="76"/>
      <c r="U22" s="75"/>
      <c r="V22" s="75"/>
      <c r="W22" s="18">
        <f t="shared" si="1"/>
        <v>1625000</v>
      </c>
      <c r="X22" s="2">
        <f t="shared" si="2"/>
        <v>0</v>
      </c>
      <c r="Y22" s="70" t="s">
        <v>143</v>
      </c>
    </row>
    <row r="23" spans="1:25" ht="15.6" customHeight="1" x14ac:dyDescent="0.25">
      <c r="A23" s="17">
        <v>11</v>
      </c>
      <c r="B23" s="1" t="s">
        <v>168</v>
      </c>
      <c r="D23" s="2"/>
      <c r="E23" s="10">
        <v>169724</v>
      </c>
      <c r="F23" s="2">
        <v>78731</v>
      </c>
      <c r="H23" s="2"/>
      <c r="J23" s="2"/>
      <c r="K23" s="2"/>
      <c r="N23" s="2"/>
      <c r="P23" s="2"/>
      <c r="Q23" s="2"/>
      <c r="R23" s="2"/>
      <c r="U23" s="2"/>
      <c r="V23" s="2"/>
      <c r="W23" s="18">
        <f t="shared" si="1"/>
        <v>169724</v>
      </c>
      <c r="X23" s="2">
        <f t="shared" si="2"/>
        <v>78731</v>
      </c>
      <c r="Y23" s="1" t="s">
        <v>168</v>
      </c>
    </row>
    <row r="24" spans="1:25" ht="31.5" x14ac:dyDescent="0.25">
      <c r="A24" s="17">
        <v>12</v>
      </c>
      <c r="B24" s="1" t="s">
        <v>91</v>
      </c>
      <c r="D24" s="2"/>
      <c r="E24" s="10">
        <v>40000</v>
      </c>
      <c r="F24" s="2"/>
      <c r="H24" s="2"/>
      <c r="J24" s="2"/>
      <c r="K24" s="2"/>
      <c r="L24" s="10">
        <v>0</v>
      </c>
      <c r="N24" s="2"/>
      <c r="P24" s="2"/>
      <c r="Q24" s="2"/>
      <c r="R24" s="2">
        <v>0</v>
      </c>
      <c r="U24" s="2"/>
      <c r="V24" s="2"/>
      <c r="W24" s="18">
        <f t="shared" si="1"/>
        <v>40000</v>
      </c>
      <c r="X24" s="2">
        <f t="shared" si="2"/>
        <v>0</v>
      </c>
      <c r="Y24" s="1" t="s">
        <v>91</v>
      </c>
    </row>
    <row r="25" spans="1:25" x14ac:dyDescent="0.25">
      <c r="A25" s="17">
        <v>13</v>
      </c>
      <c r="B25" s="1" t="s">
        <v>171</v>
      </c>
      <c r="D25" s="2"/>
      <c r="E25" s="10">
        <v>497520</v>
      </c>
      <c r="F25" s="2">
        <v>180706</v>
      </c>
      <c r="G25" s="10">
        <v>80000</v>
      </c>
      <c r="H25" s="2"/>
      <c r="J25" s="2"/>
      <c r="K25" s="2"/>
      <c r="L25" s="10">
        <v>0</v>
      </c>
      <c r="N25" s="2"/>
      <c r="P25" s="2"/>
      <c r="Q25" s="2"/>
      <c r="R25" s="2">
        <v>0</v>
      </c>
      <c r="U25" s="2"/>
      <c r="V25" s="2"/>
      <c r="W25" s="18">
        <f t="shared" si="1"/>
        <v>577520</v>
      </c>
      <c r="X25" s="2">
        <f t="shared" si="2"/>
        <v>180706</v>
      </c>
      <c r="Y25" s="1" t="s">
        <v>171</v>
      </c>
    </row>
    <row r="26" spans="1:25" x14ac:dyDescent="0.25">
      <c r="A26" s="17">
        <v>14</v>
      </c>
      <c r="B26" s="1" t="s">
        <v>24</v>
      </c>
      <c r="C26" s="10">
        <v>15000</v>
      </c>
      <c r="D26" s="2">
        <f>7246+1102+6847</f>
        <v>15195</v>
      </c>
      <c r="E26" s="10">
        <v>25000</v>
      </c>
      <c r="F26" s="2">
        <f>1735+5031+18043</f>
        <v>24809</v>
      </c>
      <c r="G26" s="10">
        <v>15000</v>
      </c>
      <c r="H26" s="2">
        <f>15480</f>
        <v>15480</v>
      </c>
      <c r="I26" s="10">
        <v>5000</v>
      </c>
      <c r="J26" s="2">
        <f>2388</f>
        <v>2388</v>
      </c>
      <c r="K26" s="2"/>
      <c r="L26" s="10">
        <v>0</v>
      </c>
      <c r="N26" s="2">
        <f>33047+3482</f>
        <v>36529</v>
      </c>
      <c r="P26" s="2"/>
      <c r="Q26" s="2"/>
      <c r="R26" s="2">
        <v>0</v>
      </c>
      <c r="S26" s="10">
        <v>0</v>
      </c>
      <c r="T26" s="2">
        <f>2504</f>
        <v>2504</v>
      </c>
      <c r="U26" s="2">
        <v>20000</v>
      </c>
      <c r="V26" s="2">
        <v>20000</v>
      </c>
      <c r="W26" s="18">
        <f t="shared" si="1"/>
        <v>80000</v>
      </c>
      <c r="X26" s="2">
        <f t="shared" si="2"/>
        <v>116905</v>
      </c>
      <c r="Y26" s="1" t="s">
        <v>24</v>
      </c>
    </row>
    <row r="27" spans="1:25" ht="78.75" x14ac:dyDescent="0.25">
      <c r="A27" s="17">
        <v>15</v>
      </c>
      <c r="B27" s="1" t="s">
        <v>166</v>
      </c>
      <c r="C27" s="10">
        <v>10000</v>
      </c>
      <c r="D27" s="2">
        <f>1580+8661</f>
        <v>10241</v>
      </c>
      <c r="E27" s="10">
        <v>80000</v>
      </c>
      <c r="F27" s="2">
        <f>6898+1700+20470+9750+16228+1700+7980+1500+12325</f>
        <v>78551</v>
      </c>
      <c r="G27" s="10">
        <v>685000</v>
      </c>
      <c r="H27" s="2">
        <f>66080-5600+1500+16000+32000+32000+24000+24000+144000+25000+69850+6675+45000+1590+30000+452+41356+126321+2411</f>
        <v>682635</v>
      </c>
      <c r="I27" s="10">
        <v>30000</v>
      </c>
      <c r="J27" s="2">
        <f>4950+6600+15000</f>
        <v>26550</v>
      </c>
      <c r="K27" s="2"/>
      <c r="L27" s="10">
        <v>0</v>
      </c>
      <c r="M27" s="10">
        <v>20000</v>
      </c>
      <c r="N27" s="2">
        <f>17744</f>
        <v>17744</v>
      </c>
      <c r="O27" s="10">
        <v>125000</v>
      </c>
      <c r="P27" s="2">
        <f>27000+19500+19500+19500+19500+19500</f>
        <v>124500</v>
      </c>
      <c r="Q27" s="2"/>
      <c r="R27" s="2">
        <v>0</v>
      </c>
      <c r="S27" s="10">
        <v>0</v>
      </c>
      <c r="T27" s="2">
        <f>3937+3000+18000+2370+1339</f>
        <v>28646</v>
      </c>
      <c r="U27" s="2"/>
      <c r="V27" s="2"/>
      <c r="W27" s="18">
        <f t="shared" si="1"/>
        <v>950000</v>
      </c>
      <c r="X27" s="2">
        <f t="shared" si="2"/>
        <v>968867</v>
      </c>
      <c r="Y27" s="1" t="s">
        <v>166</v>
      </c>
    </row>
    <row r="28" spans="1:25" x14ac:dyDescent="0.25">
      <c r="A28" s="17">
        <v>16</v>
      </c>
      <c r="B28" s="1" t="s">
        <v>13</v>
      </c>
      <c r="C28" s="10">
        <v>4500000</v>
      </c>
      <c r="D28" s="2">
        <f>4294+169666+271466+171843+274949+1818+1698-1698-1818+156980+251169+3844+3872-698+153232+245170+140877+225404+3895+159813+25570+3825+209070+130669+5017+291628+158097+98811+215865+134916+4130+150410+240656+165711+265139+4151</f>
        <v>4339441</v>
      </c>
      <c r="E28" s="10">
        <v>450000</v>
      </c>
      <c r="F28" s="2">
        <f>43629+44188+40366+39755+36576+41095+33600+25408+34693+38677+42612</f>
        <v>420599</v>
      </c>
      <c r="H28" s="2"/>
      <c r="J28" s="2"/>
      <c r="K28" s="2"/>
      <c r="L28" s="10">
        <v>0</v>
      </c>
      <c r="N28" s="2"/>
      <c r="O28" s="10">
        <v>300000</v>
      </c>
      <c r="P28" s="2">
        <f>12471+30851+38811+38811+2444+11300+20105+19945+12012+7606+12012+12012+43652+18693+12012</f>
        <v>292737</v>
      </c>
      <c r="Q28" s="2"/>
      <c r="R28" s="2">
        <v>0</v>
      </c>
      <c r="U28" s="2"/>
      <c r="V28" s="2"/>
      <c r="W28" s="18">
        <f t="shared" si="1"/>
        <v>5250000</v>
      </c>
      <c r="X28" s="2">
        <f t="shared" si="2"/>
        <v>5052777</v>
      </c>
      <c r="Y28" s="1" t="s">
        <v>13</v>
      </c>
    </row>
    <row r="29" spans="1:25" x14ac:dyDescent="0.25">
      <c r="A29" s="17">
        <v>17</v>
      </c>
      <c r="B29" s="1" t="s">
        <v>138</v>
      </c>
      <c r="C29" s="10">
        <v>10000</v>
      </c>
      <c r="D29" s="2">
        <f>8400</f>
        <v>8400</v>
      </c>
      <c r="F29" s="2"/>
      <c r="H29" s="2"/>
      <c r="J29" s="2"/>
      <c r="K29" s="2"/>
      <c r="N29" s="2"/>
      <c r="P29" s="2"/>
      <c r="Q29" s="2"/>
      <c r="R29" s="2"/>
      <c r="U29" s="2"/>
      <c r="V29" s="2"/>
      <c r="W29" s="18">
        <f t="shared" si="1"/>
        <v>10000</v>
      </c>
      <c r="X29" s="2">
        <f t="shared" si="2"/>
        <v>8400</v>
      </c>
      <c r="Y29" s="1" t="s">
        <v>138</v>
      </c>
    </row>
    <row r="30" spans="1:25" x14ac:dyDescent="0.25">
      <c r="A30" s="17">
        <v>18</v>
      </c>
      <c r="B30" s="1" t="s">
        <v>139</v>
      </c>
      <c r="D30" s="2"/>
      <c r="E30" s="10">
        <f>31539356+740000</f>
        <v>32279356</v>
      </c>
      <c r="F30" s="2">
        <f>4054+4015294+2750459+22070+3493348+192814+2493161+77412+3122148+200144+22520+26574+21619+13512+25673+25673+1887355+119819+621840+1477911+27024+3133658+3396854+207529+34681+22069+2913925+141717+28375+2784351</f>
        <v>33303583</v>
      </c>
      <c r="H30" s="2"/>
      <c r="J30" s="2"/>
      <c r="K30" s="2"/>
      <c r="L30" s="10">
        <v>0</v>
      </c>
      <c r="N30" s="2"/>
      <c r="P30" s="2"/>
      <c r="Q30" s="2"/>
      <c r="R30" s="2">
        <v>0</v>
      </c>
      <c r="U30" s="2"/>
      <c r="V30" s="2"/>
      <c r="W30" s="18">
        <f t="shared" si="1"/>
        <v>32279356</v>
      </c>
      <c r="X30" s="2">
        <f t="shared" si="2"/>
        <v>33303583</v>
      </c>
      <c r="Y30" s="1" t="s">
        <v>139</v>
      </c>
    </row>
    <row r="31" spans="1:25" x14ac:dyDescent="0.25">
      <c r="A31" s="17">
        <v>19</v>
      </c>
      <c r="B31" s="1" t="s">
        <v>87</v>
      </c>
      <c r="D31" s="2"/>
      <c r="F31" s="2"/>
      <c r="H31" s="2"/>
      <c r="J31" s="2"/>
      <c r="K31" s="2"/>
      <c r="N31" s="2"/>
      <c r="O31" s="10">
        <v>750000</v>
      </c>
      <c r="P31" s="2">
        <f>78740+78740+78740+78740+78740+78740+78740+78740+78740</f>
        <v>708660</v>
      </c>
      <c r="Q31" s="2"/>
      <c r="R31" s="2"/>
      <c r="U31" s="2"/>
      <c r="V31" s="2"/>
      <c r="W31" s="18">
        <f t="shared" si="1"/>
        <v>750000</v>
      </c>
      <c r="X31" s="2">
        <f t="shared" si="2"/>
        <v>708660</v>
      </c>
      <c r="Y31" s="1" t="s">
        <v>87</v>
      </c>
    </row>
    <row r="32" spans="1:25" x14ac:dyDescent="0.25">
      <c r="A32" s="17">
        <v>20</v>
      </c>
      <c r="B32" s="1" t="s">
        <v>48</v>
      </c>
      <c r="D32" s="2"/>
      <c r="F32" s="2"/>
      <c r="H32" s="2"/>
      <c r="I32" s="10">
        <v>1420000</v>
      </c>
      <c r="J32" s="2"/>
      <c r="K32" s="2"/>
      <c r="L32" s="10">
        <v>0</v>
      </c>
      <c r="N32" s="2"/>
      <c r="P32" s="2"/>
      <c r="Q32" s="2"/>
      <c r="R32" s="2">
        <v>0</v>
      </c>
      <c r="U32" s="2"/>
      <c r="V32" s="2"/>
      <c r="W32" s="18">
        <f t="shared" si="1"/>
        <v>1420000</v>
      </c>
      <c r="X32" s="2">
        <f t="shared" si="2"/>
        <v>0</v>
      </c>
      <c r="Y32" s="1" t="s">
        <v>48</v>
      </c>
    </row>
    <row r="33" spans="1:25" x14ac:dyDescent="0.25">
      <c r="A33" s="17">
        <v>21</v>
      </c>
      <c r="B33" s="1" t="s">
        <v>167</v>
      </c>
      <c r="D33" s="2"/>
      <c r="E33" s="10">
        <v>95000</v>
      </c>
      <c r="F33" s="2">
        <v>92913</v>
      </c>
      <c r="H33" s="2"/>
      <c r="J33" s="2"/>
      <c r="K33" s="2"/>
      <c r="N33" s="2"/>
      <c r="P33" s="2"/>
      <c r="Q33" s="2"/>
      <c r="R33" s="2"/>
      <c r="U33" s="2"/>
      <c r="V33" s="2"/>
      <c r="W33" s="18">
        <f t="shared" si="1"/>
        <v>95000</v>
      </c>
      <c r="X33" s="2">
        <f t="shared" si="2"/>
        <v>92913</v>
      </c>
      <c r="Y33" s="1" t="s">
        <v>167</v>
      </c>
    </row>
    <row r="34" spans="1:25" x14ac:dyDescent="0.25">
      <c r="A34" s="17">
        <v>22</v>
      </c>
      <c r="B34" s="1" t="s">
        <v>17</v>
      </c>
      <c r="D34" s="2"/>
      <c r="E34" s="10">
        <v>15361867</v>
      </c>
      <c r="F34" s="2">
        <f>1504177+997994+1253833+1232567+1102248+1329945+837817+1655394+1329244+1464594</f>
        <v>12707813</v>
      </c>
      <c r="H34" s="2"/>
      <c r="J34" s="2"/>
      <c r="K34" s="2"/>
      <c r="L34" s="10">
        <v>0</v>
      </c>
      <c r="N34" s="2"/>
      <c r="P34" s="2"/>
      <c r="Q34" s="2"/>
      <c r="R34" s="2">
        <v>0</v>
      </c>
      <c r="U34" s="2"/>
      <c r="V34" s="2"/>
      <c r="W34" s="18">
        <f t="shared" si="1"/>
        <v>15361867</v>
      </c>
      <c r="X34" s="2">
        <f t="shared" si="2"/>
        <v>12707813</v>
      </c>
      <c r="Y34" s="1" t="s">
        <v>17</v>
      </c>
    </row>
    <row r="35" spans="1:25" x14ac:dyDescent="0.25">
      <c r="A35" s="17">
        <v>23</v>
      </c>
      <c r="B35" s="1" t="s">
        <v>12</v>
      </c>
      <c r="C35" s="10">
        <v>4000000</v>
      </c>
      <c r="D35" s="2">
        <f>635236+73865+635236+366162+42577+366162+267665+31124+267665+193896+22546+193897+61084+7103+61084+57789+6720+57789+51794+6020+51779+62519+62519+7269+115529+13434+115529</f>
        <v>3833992</v>
      </c>
      <c r="E35" s="10">
        <v>400000</v>
      </c>
      <c r="F35" s="2">
        <f>132956+76639+56023+40583+12785+12095+10837+13085+24180</f>
        <v>379183</v>
      </c>
      <c r="H35" s="2"/>
      <c r="J35" s="2"/>
      <c r="K35" s="2"/>
      <c r="L35" s="10">
        <v>0</v>
      </c>
      <c r="N35" s="2"/>
      <c r="O35" s="10">
        <v>200000</v>
      </c>
      <c r="P35" s="2">
        <f>16351+32249+31105+16049+16100+16049+16100+17607+16849</f>
        <v>178459</v>
      </c>
      <c r="Q35" s="2"/>
      <c r="R35" s="2">
        <v>0</v>
      </c>
      <c r="U35" s="2"/>
      <c r="V35" s="2"/>
      <c r="W35" s="18">
        <f t="shared" si="1"/>
        <v>4600000</v>
      </c>
      <c r="X35" s="2">
        <f t="shared" si="2"/>
        <v>4391634</v>
      </c>
      <c r="Y35" s="1" t="s">
        <v>12</v>
      </c>
    </row>
    <row r="36" spans="1:25" x14ac:dyDescent="0.25">
      <c r="A36" s="17">
        <v>24</v>
      </c>
      <c r="B36" s="1" t="s">
        <v>103</v>
      </c>
      <c r="D36" s="2"/>
      <c r="F36" s="2"/>
      <c r="H36" s="2"/>
      <c r="I36" s="10">
        <v>150000</v>
      </c>
      <c r="J36" s="2">
        <f>700000</f>
        <v>700000</v>
      </c>
      <c r="K36" s="2"/>
      <c r="N36" s="2"/>
      <c r="P36" s="2"/>
      <c r="Q36" s="2"/>
      <c r="R36" s="2"/>
      <c r="U36" s="2"/>
      <c r="V36" s="2"/>
      <c r="W36" s="18">
        <f t="shared" si="1"/>
        <v>150000</v>
      </c>
      <c r="X36" s="2">
        <f t="shared" si="2"/>
        <v>700000</v>
      </c>
      <c r="Y36" s="1" t="s">
        <v>103</v>
      </c>
    </row>
    <row r="37" spans="1:25" x14ac:dyDescent="0.25">
      <c r="A37" s="17">
        <v>25</v>
      </c>
      <c r="B37" s="1" t="s">
        <v>170</v>
      </c>
      <c r="D37" s="2"/>
      <c r="F37" s="2"/>
      <c r="H37" s="2"/>
      <c r="J37" s="2"/>
      <c r="K37" s="2"/>
      <c r="N37" s="2"/>
      <c r="P37" s="2"/>
      <c r="Q37" s="2"/>
      <c r="R37" s="2"/>
      <c r="S37" s="10">
        <v>100000</v>
      </c>
      <c r="U37" s="2"/>
      <c r="V37" s="2"/>
      <c r="W37" s="18">
        <f t="shared" si="1"/>
        <v>100000</v>
      </c>
      <c r="X37" s="2">
        <f t="shared" si="2"/>
        <v>0</v>
      </c>
      <c r="Y37" s="1" t="s">
        <v>170</v>
      </c>
    </row>
    <row r="38" spans="1:25" x14ac:dyDescent="0.25">
      <c r="A38" s="17">
        <v>26</v>
      </c>
      <c r="B38" s="1" t="s">
        <v>45</v>
      </c>
      <c r="C38" s="10">
        <v>275000</v>
      </c>
      <c r="D38" s="2"/>
      <c r="F38" s="2"/>
      <c r="H38" s="2"/>
      <c r="J38" s="2"/>
      <c r="K38" s="2"/>
      <c r="L38" s="10">
        <v>0</v>
      </c>
      <c r="N38" s="2"/>
      <c r="P38" s="2"/>
      <c r="Q38" s="2"/>
      <c r="R38" s="2">
        <v>0</v>
      </c>
      <c r="U38" s="2"/>
      <c r="V38" s="2"/>
      <c r="W38" s="18">
        <f t="shared" si="1"/>
        <v>275000</v>
      </c>
      <c r="X38" s="2">
        <f t="shared" si="2"/>
        <v>0</v>
      </c>
      <c r="Y38" s="1" t="s">
        <v>45</v>
      </c>
    </row>
    <row r="39" spans="1:25" x14ac:dyDescent="0.25">
      <c r="A39" s="17">
        <v>27</v>
      </c>
      <c r="B39" s="1" t="s">
        <v>16</v>
      </c>
      <c r="D39" s="2"/>
      <c r="F39" s="2"/>
      <c r="H39" s="2"/>
      <c r="I39" s="10">
        <v>1800000</v>
      </c>
      <c r="J39" s="2">
        <f>109534+1676000</f>
        <v>1785534</v>
      </c>
      <c r="K39" s="2"/>
      <c r="L39" s="10">
        <v>0</v>
      </c>
      <c r="N39" s="2"/>
      <c r="P39" s="2"/>
      <c r="Q39" s="2"/>
      <c r="R39" s="2">
        <v>0</v>
      </c>
      <c r="U39" s="2"/>
      <c r="V39" s="2"/>
      <c r="W39" s="18">
        <f t="shared" si="1"/>
        <v>1800000</v>
      </c>
      <c r="X39" s="2">
        <f t="shared" si="2"/>
        <v>1785534</v>
      </c>
      <c r="Y39" s="1" t="s">
        <v>16</v>
      </c>
    </row>
    <row r="40" spans="1:25" x14ac:dyDescent="0.25">
      <c r="A40" s="17">
        <v>28</v>
      </c>
      <c r="B40" s="1" t="s">
        <v>89</v>
      </c>
      <c r="C40" s="10">
        <v>445000</v>
      </c>
      <c r="D40" s="2">
        <f>14116+250000</f>
        <v>264116</v>
      </c>
      <c r="E40" s="10">
        <v>100000</v>
      </c>
      <c r="F40" s="2"/>
      <c r="H40" s="2"/>
      <c r="J40" s="2"/>
      <c r="K40" s="2"/>
      <c r="L40" s="10">
        <v>0</v>
      </c>
      <c r="N40" s="2"/>
      <c r="P40" s="2"/>
      <c r="Q40" s="2"/>
      <c r="R40" s="2">
        <v>0</v>
      </c>
      <c r="U40" s="2"/>
      <c r="V40" s="2"/>
      <c r="W40" s="18">
        <f t="shared" si="1"/>
        <v>545000</v>
      </c>
      <c r="X40" s="2">
        <f t="shared" si="2"/>
        <v>264116</v>
      </c>
      <c r="Y40" s="1" t="s">
        <v>89</v>
      </c>
    </row>
    <row r="41" spans="1:25" x14ac:dyDescent="0.25">
      <c r="A41" s="17">
        <v>29</v>
      </c>
      <c r="B41" s="1" t="s">
        <v>18</v>
      </c>
      <c r="D41" s="2"/>
      <c r="F41" s="2"/>
      <c r="G41" s="10">
        <v>175000</v>
      </c>
      <c r="H41" s="2">
        <f>105817+65615</f>
        <v>171432</v>
      </c>
      <c r="I41" s="10">
        <v>2500</v>
      </c>
      <c r="J41" s="2">
        <f>2460</f>
        <v>2460</v>
      </c>
      <c r="K41" s="2"/>
      <c r="L41" s="10">
        <v>0</v>
      </c>
      <c r="N41" s="2"/>
      <c r="P41" s="2"/>
      <c r="Q41" s="2"/>
      <c r="R41" s="2">
        <v>0</v>
      </c>
      <c r="U41" s="2"/>
      <c r="V41" s="2"/>
      <c r="W41" s="18">
        <f t="shared" si="1"/>
        <v>177500</v>
      </c>
      <c r="X41" s="2">
        <f t="shared" si="2"/>
        <v>173892</v>
      </c>
      <c r="Y41" s="1" t="s">
        <v>18</v>
      </c>
    </row>
    <row r="42" spans="1:25" x14ac:dyDescent="0.25">
      <c r="A42" s="17">
        <v>30</v>
      </c>
      <c r="B42" s="1" t="s">
        <v>20</v>
      </c>
      <c r="D42" s="2"/>
      <c r="F42" s="2"/>
      <c r="G42" s="10">
        <v>800000</v>
      </c>
      <c r="H42" s="2">
        <f>1402+1969+1181+2614+1567+1425+3853+1386+1869+1402+1516+2960+2739+3032+4606+4606+23622+3150+3110+2004+3120+1655+5373+1575+3094+3106+1576+18902+3145+31497+1556+3000+23164+2874+2890+15765+3027+3008+3035+3150+8880+1259+1579+3142+6847+26415+35433+28416+3008+4503+5116+2953+5934+24060+4512+3090+2899+4343+15960+23624+2882+2882+26770+27561+3024+18112+4358+2905+4363+16243+14941+460+1498+27218+2984+23615+4298+2898+23623+36860+1480+19686+22557+28651+4717+6167+1469+31496</f>
        <v>780216</v>
      </c>
      <c r="I42" s="10">
        <v>1550000</v>
      </c>
      <c r="J42" s="2">
        <f>23622+18298+46961+10993+11889+13078+22838+31500+17159+11713+18048+16926+23622+23622+13322+29538+11284+20472+16497+22175+17611+12406+23622+13557+23625+22817+23622+2854+17678+11745+18446+89822+11420+11767+15485+8448+66942+17369+10158+49590+19027+29528+7880+29286+17094+31500+15747+34716+11695+14609+18969+23211+7874+7874+37180+4776+9925+22711+11947+10324+23772+18410+18809+12508+6616+10758+30777+13289+17896+39359+18221+24289+17307+25668</f>
        <v>1516093</v>
      </c>
      <c r="K42" s="2"/>
      <c r="L42" s="10">
        <v>0</v>
      </c>
      <c r="N42" s="2"/>
      <c r="P42" s="2"/>
      <c r="Q42" s="2"/>
      <c r="R42" s="2">
        <v>0</v>
      </c>
      <c r="S42" s="10">
        <v>20000</v>
      </c>
      <c r="T42" s="2">
        <f>8476+6300+5918</f>
        <v>20694</v>
      </c>
      <c r="U42" s="2"/>
      <c r="V42" s="2"/>
      <c r="W42" s="18">
        <f t="shared" si="1"/>
        <v>2370000</v>
      </c>
      <c r="X42" s="2">
        <f t="shared" si="2"/>
        <v>2317003</v>
      </c>
      <c r="Y42" s="1" t="s">
        <v>20</v>
      </c>
    </row>
    <row r="43" spans="1:25" x14ac:dyDescent="0.25">
      <c r="A43" s="17">
        <v>31</v>
      </c>
      <c r="B43" s="1" t="s">
        <v>23</v>
      </c>
      <c r="C43" s="10">
        <v>1500000</v>
      </c>
      <c r="D43" s="2">
        <f>5600+96799+111861+51154+95657+11700+5640+111906+67602+131670+44640+44331+66095+6091+25920+17940+22110+2925+2954+13400+97200+39699+84008+67300+29323+6860+48257+34026+14730+3810+9729+123488+122340+5560+7920+46720-J43</f>
        <v>1444965</v>
      </c>
      <c r="E43" s="10">
        <v>850000</v>
      </c>
      <c r="F43" s="2">
        <f>7451+27300+18977+18891+52891+24536+39828+35000+40849+6900+44502+24222+96827+34353+30317+2361+37157+2750+16530+86737+32063+28301+27000+3305+55103+10413+27000</f>
        <v>831564</v>
      </c>
      <c r="G43" s="10">
        <v>5000</v>
      </c>
      <c r="H43" s="2">
        <f>4630</f>
        <v>4630</v>
      </c>
      <c r="I43" s="10">
        <v>250000</v>
      </c>
      <c r="J43" s="2">
        <v>232000</v>
      </c>
      <c r="K43" s="2"/>
      <c r="L43" s="10">
        <v>0</v>
      </c>
      <c r="N43" s="2">
        <f>5360+1741</f>
        <v>7101</v>
      </c>
      <c r="O43" s="10">
        <v>50000</v>
      </c>
      <c r="P43" s="2">
        <f>3066+2450+25920</f>
        <v>31436</v>
      </c>
      <c r="Q43" s="2"/>
      <c r="R43" s="2">
        <v>0</v>
      </c>
      <c r="U43" s="10">
        <v>850000</v>
      </c>
      <c r="V43" s="2">
        <f>7350</f>
        <v>7350</v>
      </c>
      <c r="W43" s="18">
        <f t="shared" si="1"/>
        <v>3505000</v>
      </c>
      <c r="X43" s="2">
        <f t="shared" si="2"/>
        <v>2559046</v>
      </c>
      <c r="Y43" s="1" t="s">
        <v>23</v>
      </c>
    </row>
    <row r="44" spans="1:25" ht="31.5" x14ac:dyDescent="0.25">
      <c r="A44" s="17">
        <v>32</v>
      </c>
      <c r="B44" s="1" t="s">
        <v>27</v>
      </c>
      <c r="D44" s="2"/>
      <c r="F44" s="2"/>
      <c r="H44" s="2">
        <f>17340</f>
        <v>17340</v>
      </c>
      <c r="J44" s="2"/>
      <c r="K44" s="10">
        <v>640000</v>
      </c>
      <c r="L44" s="2">
        <f>34840+50000+34840+35000+21000+104500+61760+55840+21000+42500+28000+36180+14000+21000+55840+21000</f>
        <v>637300</v>
      </c>
      <c r="N44" s="2"/>
      <c r="P44" s="2"/>
      <c r="Q44" s="2"/>
      <c r="R44" s="2">
        <v>0</v>
      </c>
      <c r="U44" s="2"/>
      <c r="V44" s="2"/>
      <c r="W44" s="18">
        <f t="shared" si="1"/>
        <v>640000</v>
      </c>
      <c r="X44" s="2">
        <f t="shared" si="2"/>
        <v>654640</v>
      </c>
      <c r="Y44" s="1" t="s">
        <v>27</v>
      </c>
    </row>
    <row r="45" spans="1:25" x14ac:dyDescent="0.25">
      <c r="A45" s="17">
        <v>33</v>
      </c>
      <c r="B45" s="1" t="s">
        <v>30</v>
      </c>
      <c r="C45" s="10">
        <v>260000</v>
      </c>
      <c r="D45" s="2">
        <f>134340+167925+167925+167925+8397</f>
        <v>646512</v>
      </c>
      <c r="E45" s="10">
        <v>130000</v>
      </c>
      <c r="F45" s="2"/>
      <c r="G45" s="10">
        <v>260000</v>
      </c>
      <c r="H45" s="2"/>
      <c r="J45" s="2"/>
      <c r="K45" s="2"/>
      <c r="L45" s="10">
        <v>0</v>
      </c>
      <c r="N45" s="2"/>
      <c r="O45" s="10">
        <v>60000</v>
      </c>
      <c r="P45" s="2">
        <f>14652+14652+14652+14652</f>
        <v>58608</v>
      </c>
      <c r="Q45" s="10">
        <v>376640</v>
      </c>
      <c r="R45" s="2">
        <f>60000+15002+13216+13574+66000+24647+23575+16074+25718+17146+27147+60000</f>
        <v>362099</v>
      </c>
      <c r="U45" s="2"/>
      <c r="V45" s="2"/>
      <c r="W45" s="18">
        <f t="shared" si="1"/>
        <v>1086640</v>
      </c>
      <c r="X45" s="2">
        <f t="shared" si="2"/>
        <v>1067219</v>
      </c>
      <c r="Y45" s="1" t="s">
        <v>30</v>
      </c>
    </row>
    <row r="46" spans="1:25" x14ac:dyDescent="0.25">
      <c r="A46" s="17">
        <v>34</v>
      </c>
      <c r="B46" s="1" t="s">
        <v>136</v>
      </c>
      <c r="D46" s="2"/>
      <c r="E46" s="10">
        <v>120000</v>
      </c>
      <c r="F46" s="2">
        <f>4000+12700+11174+5900+10325+12300</f>
        <v>56399</v>
      </c>
      <c r="H46" s="2"/>
      <c r="J46" s="2"/>
      <c r="K46" s="2"/>
      <c r="N46" s="2"/>
      <c r="P46" s="2"/>
      <c r="Q46" s="2"/>
      <c r="R46" s="2"/>
      <c r="U46" s="2"/>
      <c r="V46" s="2"/>
      <c r="W46" s="18">
        <f t="shared" si="1"/>
        <v>120000</v>
      </c>
      <c r="X46" s="2">
        <f t="shared" si="2"/>
        <v>56399</v>
      </c>
      <c r="Y46" s="1" t="s">
        <v>136</v>
      </c>
    </row>
    <row r="47" spans="1:25" x14ac:dyDescent="0.25">
      <c r="A47" s="17">
        <v>35</v>
      </c>
      <c r="B47" s="1" t="s">
        <v>94</v>
      </c>
      <c r="D47" s="2"/>
      <c r="E47" s="10">
        <v>30000</v>
      </c>
      <c r="F47" s="2"/>
      <c r="H47" s="2"/>
      <c r="I47" s="10">
        <f>12*20000+4*5400</f>
        <v>261600</v>
      </c>
      <c r="J47" s="2">
        <f>20000+20000+20000+40000+20000+5400+20000+20000+20000+20000+5400+20000+20000+88000+20000+28000</f>
        <v>386800</v>
      </c>
      <c r="K47" s="2"/>
      <c r="N47" s="2"/>
      <c r="P47" s="2"/>
      <c r="Q47" s="2"/>
      <c r="R47" s="2"/>
      <c r="U47" s="2"/>
      <c r="V47" s="2"/>
      <c r="W47" s="18">
        <f t="shared" si="1"/>
        <v>291600</v>
      </c>
      <c r="X47" s="2">
        <f t="shared" si="2"/>
        <v>386800</v>
      </c>
      <c r="Y47" s="1" t="s">
        <v>94</v>
      </c>
    </row>
    <row r="48" spans="1:25" x14ac:dyDescent="0.25">
      <c r="A48" s="17">
        <v>36</v>
      </c>
      <c r="B48" s="1" t="s">
        <v>25</v>
      </c>
      <c r="C48" s="10">
        <v>20000</v>
      </c>
      <c r="D48" s="2"/>
      <c r="F48" s="2"/>
      <c r="H48" s="2"/>
      <c r="J48" s="2"/>
      <c r="K48" s="2"/>
      <c r="L48" s="10">
        <v>0</v>
      </c>
      <c r="N48" s="2"/>
      <c r="P48" s="2"/>
      <c r="Q48" s="2"/>
      <c r="R48" s="2">
        <v>0</v>
      </c>
      <c r="U48" s="2"/>
      <c r="V48" s="2"/>
      <c r="W48" s="18">
        <f t="shared" si="1"/>
        <v>20000</v>
      </c>
      <c r="X48" s="2">
        <f t="shared" si="2"/>
        <v>0</v>
      </c>
      <c r="Y48" s="1" t="s">
        <v>25</v>
      </c>
    </row>
    <row r="49" spans="1:25" x14ac:dyDescent="0.25">
      <c r="A49" s="17">
        <v>37</v>
      </c>
      <c r="B49" s="1" t="s">
        <v>15</v>
      </c>
      <c r="D49" s="2"/>
      <c r="F49" s="2"/>
      <c r="H49" s="2"/>
      <c r="I49" s="10">
        <v>100000</v>
      </c>
      <c r="J49" s="2">
        <v>35000</v>
      </c>
      <c r="K49" s="2"/>
      <c r="L49" s="10">
        <v>0</v>
      </c>
      <c r="N49" s="2"/>
      <c r="P49" s="2"/>
      <c r="Q49" s="2"/>
      <c r="R49" s="2">
        <v>0</v>
      </c>
      <c r="U49" s="2"/>
      <c r="V49" s="2"/>
      <c r="W49" s="18">
        <f t="shared" si="1"/>
        <v>100000</v>
      </c>
      <c r="X49" s="2">
        <f t="shared" si="2"/>
        <v>35000</v>
      </c>
      <c r="Y49" s="1" t="s">
        <v>15</v>
      </c>
    </row>
    <row r="50" spans="1:25" ht="15.6" customHeight="1" x14ac:dyDescent="0.25">
      <c r="A50" s="17">
        <v>38</v>
      </c>
      <c r="B50" s="1" t="s">
        <v>19</v>
      </c>
      <c r="C50" s="10">
        <v>90000</v>
      </c>
      <c r="D50" s="2">
        <f>2480+3449+11615+2118+10315+47369+4529+3740+1481</f>
        <v>87096</v>
      </c>
      <c r="E50" s="10">
        <v>60000</v>
      </c>
      <c r="F50" s="2">
        <f>4921+11339+10866+11086+9370+10866</f>
        <v>58448</v>
      </c>
      <c r="H50" s="2"/>
      <c r="I50" s="10">
        <v>60000</v>
      </c>
      <c r="J50" s="2">
        <f>3740+1221+362+12284+9890+12473+1575+15519</f>
        <v>57064</v>
      </c>
      <c r="K50" s="2"/>
      <c r="L50" s="10">
        <v>0</v>
      </c>
      <c r="N50" s="2"/>
      <c r="P50" s="2"/>
      <c r="Q50" s="2"/>
      <c r="R50" s="2">
        <v>0</v>
      </c>
      <c r="U50" s="2"/>
      <c r="V50" s="2"/>
      <c r="W50" s="18">
        <f t="shared" si="1"/>
        <v>210000</v>
      </c>
      <c r="X50" s="2">
        <f t="shared" si="2"/>
        <v>202608</v>
      </c>
      <c r="Y50" s="1" t="s">
        <v>19</v>
      </c>
    </row>
    <row r="51" spans="1:25" ht="124.9" customHeight="1" x14ac:dyDescent="0.25">
      <c r="A51" s="17">
        <v>39</v>
      </c>
      <c r="B51" s="1" t="s">
        <v>73</v>
      </c>
      <c r="D51" s="2"/>
      <c r="F51" s="2"/>
      <c r="G51" s="10">
        <v>550000</v>
      </c>
      <c r="H51" s="2">
        <f>130000+390000+125000</f>
        <v>645000</v>
      </c>
      <c r="J51" s="2"/>
      <c r="K51" s="2"/>
      <c r="L51" s="10">
        <v>0</v>
      </c>
      <c r="N51" s="2"/>
      <c r="P51" s="2"/>
      <c r="Q51" s="2"/>
      <c r="R51" s="2">
        <v>0</v>
      </c>
      <c r="S51" s="10">
        <v>300000</v>
      </c>
      <c r="U51" s="2"/>
      <c r="V51" s="2"/>
      <c r="W51" s="18">
        <f t="shared" si="1"/>
        <v>850000</v>
      </c>
      <c r="X51" s="2">
        <f t="shared" si="2"/>
        <v>645000</v>
      </c>
      <c r="Y51" s="1" t="s">
        <v>73</v>
      </c>
    </row>
    <row r="52" spans="1:25" x14ac:dyDescent="0.25">
      <c r="A52" s="17">
        <v>40</v>
      </c>
      <c r="B52" s="1" t="s">
        <v>137</v>
      </c>
      <c r="C52" s="10">
        <v>150000</v>
      </c>
      <c r="D52" s="2">
        <f>3264+9000+18333+36120+57950+105000+6705</f>
        <v>236372</v>
      </c>
      <c r="E52" s="10">
        <v>60000</v>
      </c>
      <c r="F52" s="2">
        <f>60000</f>
        <v>60000</v>
      </c>
      <c r="G52" s="10">
        <v>450000</v>
      </c>
      <c r="H52" s="2">
        <f>36220+24146+15969+1652+20000+30854+21638+41979+3700+6586+1244+88975+9937+7153+19906+1488+18031+13567+65984</f>
        <v>429029</v>
      </c>
      <c r="J52" s="2">
        <f>2061</f>
        <v>2061</v>
      </c>
      <c r="K52" s="2"/>
      <c r="L52" s="10">
        <v>0</v>
      </c>
      <c r="N52" s="2"/>
      <c r="O52" s="10">
        <v>50000</v>
      </c>
      <c r="P52" s="2">
        <f>20000+6902</f>
        <v>26902</v>
      </c>
      <c r="Q52" s="2"/>
      <c r="R52" s="2">
        <v>5000</v>
      </c>
      <c r="S52" s="10">
        <f>500000+155000</f>
        <v>655000</v>
      </c>
      <c r="T52" s="2">
        <f>2402+24206+13063+2425+41387+41388+14126+10937+24816+866+53100+15000+22512+12291+5906+494+44519+20394+13063+10095+36000+8252+47128+4900+6598+39906+1945+835+102300+30000+30000+9716+4504+27000+4724</f>
        <v>726798</v>
      </c>
      <c r="U52" s="10">
        <v>50000</v>
      </c>
      <c r="V52" s="2">
        <f>1303</f>
        <v>1303</v>
      </c>
      <c r="W52" s="18">
        <f t="shared" si="1"/>
        <v>1415000</v>
      </c>
      <c r="X52" s="2">
        <f t="shared" si="2"/>
        <v>1487465</v>
      </c>
      <c r="Y52" s="1" t="s">
        <v>137</v>
      </c>
    </row>
    <row r="53" spans="1:25" x14ac:dyDescent="0.25">
      <c r="A53" s="17">
        <v>41</v>
      </c>
      <c r="B53" s="1" t="s">
        <v>46</v>
      </c>
      <c r="C53" s="10">
        <v>270000</v>
      </c>
      <c r="D53" s="2">
        <f>106000+1028</f>
        <v>107028</v>
      </c>
      <c r="F53" s="2"/>
      <c r="H53" s="2"/>
      <c r="J53" s="2"/>
      <c r="K53" s="2"/>
      <c r="L53" s="10">
        <v>0</v>
      </c>
      <c r="N53" s="2"/>
      <c r="O53" s="10">
        <v>50000</v>
      </c>
      <c r="P53" s="2"/>
      <c r="Q53" s="2"/>
      <c r="R53" s="2">
        <v>0</v>
      </c>
      <c r="S53" s="10">
        <v>120000</v>
      </c>
      <c r="T53" s="2">
        <f>47338+16600</f>
        <v>63938</v>
      </c>
      <c r="U53" s="2"/>
      <c r="V53" s="2"/>
      <c r="W53" s="18">
        <f t="shared" si="1"/>
        <v>440000</v>
      </c>
      <c r="X53" s="2">
        <f t="shared" si="2"/>
        <v>170966</v>
      </c>
      <c r="Y53" s="1" t="s">
        <v>46</v>
      </c>
    </row>
    <row r="54" spans="1:25" x14ac:dyDescent="0.25">
      <c r="A54" s="17">
        <v>42</v>
      </c>
      <c r="B54" s="1" t="s">
        <v>14</v>
      </c>
      <c r="C54" s="10">
        <v>22000</v>
      </c>
      <c r="D54" s="2">
        <f>20400</f>
        <v>20400</v>
      </c>
      <c r="F54" s="2"/>
      <c r="H54" s="2"/>
      <c r="J54" s="2"/>
      <c r="K54" s="2"/>
      <c r="L54" s="10">
        <v>0</v>
      </c>
      <c r="N54" s="2"/>
      <c r="P54" s="2"/>
      <c r="Q54" s="2"/>
      <c r="R54" s="2">
        <v>0</v>
      </c>
      <c r="S54" s="10">
        <v>25000</v>
      </c>
      <c r="T54" s="2">
        <f>9440+13840</f>
        <v>23280</v>
      </c>
      <c r="U54" s="2"/>
      <c r="V54" s="2"/>
      <c r="W54" s="18">
        <f t="shared" si="1"/>
        <v>47000</v>
      </c>
      <c r="X54" s="2">
        <f t="shared" si="2"/>
        <v>43680</v>
      </c>
      <c r="Y54" s="1" t="s">
        <v>14</v>
      </c>
    </row>
    <row r="55" spans="1:25" x14ac:dyDescent="0.25">
      <c r="A55" s="17">
        <v>43</v>
      </c>
      <c r="B55" s="1" t="s">
        <v>21</v>
      </c>
      <c r="D55" s="2"/>
      <c r="E55" s="10">
        <v>30000</v>
      </c>
      <c r="F55" s="2">
        <f>18941+12535</f>
        <v>31476</v>
      </c>
      <c r="H55" s="2">
        <f>5905+11023+1574+20471+56000+47236-47236+28889</f>
        <v>123862</v>
      </c>
      <c r="I55" s="10">
        <f>30000+165000</f>
        <v>195000</v>
      </c>
      <c r="J55" s="2"/>
      <c r="K55" s="2"/>
      <c r="L55" s="10">
        <v>0</v>
      </c>
      <c r="N55" s="2">
        <f>18895+6298</f>
        <v>25193</v>
      </c>
      <c r="P55" s="2"/>
      <c r="Q55" s="2"/>
      <c r="R55" s="2">
        <v>0</v>
      </c>
      <c r="U55" s="2"/>
      <c r="V55" s="2"/>
      <c r="W55" s="18">
        <f t="shared" si="1"/>
        <v>225000</v>
      </c>
      <c r="X55" s="2">
        <f t="shared" si="2"/>
        <v>180531</v>
      </c>
      <c r="Y55" s="1" t="s">
        <v>21</v>
      </c>
    </row>
    <row r="56" spans="1:25" x14ac:dyDescent="0.25">
      <c r="A56" s="17">
        <v>44</v>
      </c>
      <c r="B56" s="1" t="s">
        <v>129</v>
      </c>
      <c r="D56" s="2"/>
      <c r="E56" s="10">
        <f>70000+320000</f>
        <v>390000</v>
      </c>
      <c r="F56" s="2">
        <f>35000+19000+52000+30000+122500+48000+34000+89300+31900</f>
        <v>461700</v>
      </c>
      <c r="H56" s="2"/>
      <c r="J56" s="2"/>
      <c r="K56" s="2"/>
      <c r="L56" s="10">
        <v>0</v>
      </c>
      <c r="N56" s="2"/>
      <c r="P56" s="2"/>
      <c r="Q56" s="2"/>
      <c r="R56" s="2">
        <v>0</v>
      </c>
      <c r="U56" s="2"/>
      <c r="V56" s="2"/>
      <c r="W56" s="18">
        <f t="shared" si="1"/>
        <v>390000</v>
      </c>
      <c r="X56" s="2">
        <f t="shared" si="2"/>
        <v>461700</v>
      </c>
      <c r="Y56" s="1" t="s">
        <v>129</v>
      </c>
    </row>
    <row r="57" spans="1:25" x14ac:dyDescent="0.25">
      <c r="A57" s="17">
        <v>45</v>
      </c>
      <c r="B57" s="1" t="s">
        <v>37</v>
      </c>
      <c r="D57" s="2"/>
      <c r="F57" s="2"/>
      <c r="H57" s="2"/>
      <c r="I57" s="10">
        <v>200000</v>
      </c>
      <c r="J57" s="2">
        <f>200000</f>
        <v>200000</v>
      </c>
      <c r="K57" s="2"/>
      <c r="L57" s="10">
        <v>0</v>
      </c>
      <c r="N57" s="2"/>
      <c r="P57" s="2"/>
      <c r="Q57" s="2"/>
      <c r="R57" s="2">
        <v>0</v>
      </c>
      <c r="U57" s="2"/>
      <c r="V57" s="2"/>
      <c r="W57" s="18">
        <f t="shared" si="1"/>
        <v>200000</v>
      </c>
      <c r="X57" s="2">
        <f t="shared" si="2"/>
        <v>200000</v>
      </c>
      <c r="Y57" s="1" t="s">
        <v>37</v>
      </c>
    </row>
    <row r="58" spans="1:25" x14ac:dyDescent="0.25">
      <c r="A58" s="17">
        <v>46</v>
      </c>
      <c r="B58" s="1" t="s">
        <v>95</v>
      </c>
      <c r="D58" s="2"/>
      <c r="F58" s="2"/>
      <c r="G58" s="10">
        <v>100000</v>
      </c>
      <c r="H58" s="2"/>
      <c r="J58" s="2"/>
      <c r="K58" s="2"/>
      <c r="L58" s="10">
        <v>0</v>
      </c>
      <c r="N58" s="2"/>
      <c r="Q58" s="2"/>
      <c r="R58" s="2">
        <v>0</v>
      </c>
      <c r="U58" s="2"/>
      <c r="V58" s="2"/>
      <c r="W58" s="18">
        <f t="shared" si="1"/>
        <v>100000</v>
      </c>
      <c r="X58" s="2">
        <f t="shared" si="2"/>
        <v>0</v>
      </c>
      <c r="Y58" s="1" t="s">
        <v>95</v>
      </c>
    </row>
    <row r="59" spans="1:25" ht="31.15" customHeight="1" x14ac:dyDescent="0.25">
      <c r="A59" s="17">
        <v>47</v>
      </c>
      <c r="B59" s="1" t="s">
        <v>47</v>
      </c>
      <c r="D59" s="2"/>
      <c r="F59" s="2"/>
      <c r="G59" s="10">
        <v>150000</v>
      </c>
      <c r="H59" s="2">
        <f>31496+13071+19134+42756+11417+15268</f>
        <v>133142</v>
      </c>
      <c r="J59" s="2"/>
      <c r="K59" s="2"/>
      <c r="L59" s="10">
        <v>0</v>
      </c>
      <c r="N59" s="2"/>
      <c r="P59" s="2"/>
      <c r="Q59" s="2"/>
      <c r="R59" s="2">
        <v>0</v>
      </c>
      <c r="U59" s="2"/>
      <c r="V59" s="2"/>
      <c r="W59" s="18">
        <f t="shared" si="1"/>
        <v>150000</v>
      </c>
      <c r="X59" s="2">
        <f t="shared" si="2"/>
        <v>133142</v>
      </c>
      <c r="Y59" s="1" t="s">
        <v>47</v>
      </c>
    </row>
    <row r="60" spans="1:25" ht="31.15" customHeight="1" x14ac:dyDescent="0.25">
      <c r="A60" s="17">
        <v>48</v>
      </c>
      <c r="B60" s="1" t="s">
        <v>169</v>
      </c>
      <c r="C60" s="10">
        <v>60000</v>
      </c>
      <c r="D60" s="2"/>
      <c r="F60" s="2"/>
      <c r="H60" s="2"/>
      <c r="J60" s="2"/>
      <c r="K60" s="2"/>
      <c r="N60" s="2"/>
      <c r="P60" s="2"/>
      <c r="Q60" s="2"/>
      <c r="R60" s="2"/>
      <c r="S60" s="10">
        <v>40000</v>
      </c>
      <c r="U60" s="2"/>
      <c r="V60" s="2"/>
      <c r="W60" s="18">
        <f t="shared" si="1"/>
        <v>100000</v>
      </c>
      <c r="X60" s="2">
        <f t="shared" si="2"/>
        <v>0</v>
      </c>
      <c r="Y60" s="1" t="s">
        <v>169</v>
      </c>
    </row>
    <row r="61" spans="1:25" x14ac:dyDescent="0.25">
      <c r="A61" s="17">
        <v>49</v>
      </c>
      <c r="B61" s="1" t="s">
        <v>49</v>
      </c>
      <c r="D61" s="2"/>
      <c r="F61" s="2"/>
      <c r="H61" s="2"/>
      <c r="I61" s="10">
        <v>7000000</v>
      </c>
      <c r="J61" s="2">
        <v>6571000</v>
      </c>
      <c r="K61" s="2"/>
      <c r="L61" s="10">
        <v>0</v>
      </c>
      <c r="N61" s="2"/>
      <c r="P61" s="2"/>
      <c r="Q61" s="2"/>
      <c r="R61" s="2">
        <v>0</v>
      </c>
      <c r="U61" s="2"/>
      <c r="V61" s="2"/>
      <c r="W61" s="18">
        <f t="shared" si="1"/>
        <v>7000000</v>
      </c>
      <c r="X61" s="2">
        <f t="shared" si="2"/>
        <v>6571000</v>
      </c>
      <c r="Y61" s="1" t="s">
        <v>49</v>
      </c>
    </row>
    <row r="62" spans="1:25" x14ac:dyDescent="0.25">
      <c r="A62" s="17">
        <v>50</v>
      </c>
      <c r="B62" s="1" t="s">
        <v>165</v>
      </c>
      <c r="C62" s="2">
        <v>1570000</v>
      </c>
      <c r="E62" s="2">
        <f>570000+3*205000</f>
        <v>1185000</v>
      </c>
      <c r="F62" s="10">
        <v>34000</v>
      </c>
      <c r="H62" s="2"/>
      <c r="J62" s="2"/>
      <c r="K62" s="2"/>
      <c r="L62" s="10">
        <v>0</v>
      </c>
      <c r="N62" s="2"/>
      <c r="P62" s="2"/>
      <c r="Q62" s="2"/>
      <c r="R62" s="2">
        <v>0</v>
      </c>
      <c r="S62" s="10">
        <v>376700</v>
      </c>
      <c r="U62" s="2"/>
      <c r="V62" s="2"/>
      <c r="W62" s="18">
        <f t="shared" si="1"/>
        <v>3131700</v>
      </c>
      <c r="X62" s="2">
        <f t="shared" si="2"/>
        <v>34000</v>
      </c>
      <c r="Y62" s="1" t="s">
        <v>165</v>
      </c>
    </row>
    <row r="63" spans="1:25" x14ac:dyDescent="0.25">
      <c r="A63" s="17">
        <v>51</v>
      </c>
      <c r="B63" s="1" t="s">
        <v>43</v>
      </c>
      <c r="C63" s="10">
        <v>25000</v>
      </c>
      <c r="D63" s="2">
        <f>20000</f>
        <v>20000</v>
      </c>
      <c r="F63" s="2"/>
      <c r="H63" s="2"/>
      <c r="J63" s="2"/>
      <c r="K63" s="2"/>
      <c r="L63" s="10">
        <v>0</v>
      </c>
      <c r="N63" s="2"/>
      <c r="P63" s="2"/>
      <c r="Q63" s="2"/>
      <c r="R63" s="2">
        <v>0</v>
      </c>
      <c r="U63" s="2"/>
      <c r="V63" s="2"/>
      <c r="W63" s="18">
        <f t="shared" si="1"/>
        <v>25000</v>
      </c>
      <c r="X63" s="2">
        <f t="shared" si="2"/>
        <v>20000</v>
      </c>
      <c r="Y63" s="1" t="s">
        <v>43</v>
      </c>
    </row>
    <row r="64" spans="1:25" x14ac:dyDescent="0.25">
      <c r="A64" s="17">
        <v>52</v>
      </c>
      <c r="B64" s="1" t="s">
        <v>173</v>
      </c>
      <c r="C64" s="10">
        <v>430000</v>
      </c>
      <c r="D64" s="2">
        <f>34700+35776+35776+35776+35776+35776+35776+35776+35776+35776+35776+35776</f>
        <v>428236</v>
      </c>
      <c r="F64" s="2"/>
      <c r="H64" s="2"/>
      <c r="J64" s="2"/>
      <c r="K64" s="2"/>
      <c r="L64" s="10">
        <v>0</v>
      </c>
      <c r="N64" s="2"/>
      <c r="P64" s="2"/>
      <c r="Q64" s="2"/>
      <c r="R64" s="2">
        <v>0</v>
      </c>
      <c r="U64" s="2"/>
      <c r="V64" s="2"/>
      <c r="W64" s="18">
        <f t="shared" si="1"/>
        <v>430000</v>
      </c>
      <c r="X64" s="2">
        <f t="shared" si="2"/>
        <v>428236</v>
      </c>
      <c r="Y64" s="1" t="s">
        <v>173</v>
      </c>
    </row>
    <row r="65" spans="1:25" x14ac:dyDescent="0.25">
      <c r="A65" s="17">
        <v>53</v>
      </c>
      <c r="B65" s="1" t="s">
        <v>81</v>
      </c>
      <c r="D65" s="2">
        <f>87500+4724+10157+125850+10000+30000+70000</f>
        <v>338231</v>
      </c>
      <c r="F65" s="2">
        <f>3712+32542+33990+1669+132185</f>
        <v>204098</v>
      </c>
      <c r="H65" s="2"/>
      <c r="I65" s="10">
        <v>400000</v>
      </c>
      <c r="J65" s="2"/>
      <c r="K65" s="2"/>
      <c r="N65" s="2"/>
      <c r="P65" s="2"/>
      <c r="Q65" s="2"/>
      <c r="R65" s="2"/>
      <c r="U65" s="2"/>
      <c r="V65" s="2"/>
      <c r="W65" s="18">
        <f t="shared" si="1"/>
        <v>400000</v>
      </c>
      <c r="X65" s="2">
        <f t="shared" si="2"/>
        <v>542329</v>
      </c>
      <c r="Y65" s="1" t="s">
        <v>81</v>
      </c>
    </row>
    <row r="66" spans="1:25" ht="31.15" customHeight="1" x14ac:dyDescent="0.25">
      <c r="A66" s="17">
        <v>54</v>
      </c>
      <c r="B66" s="1" t="s">
        <v>22</v>
      </c>
      <c r="C66" s="10">
        <v>99000</v>
      </c>
      <c r="D66" s="2">
        <f>5906+27000+15000+10228</f>
        <v>58134</v>
      </c>
      <c r="E66" s="10">
        <v>297000</v>
      </c>
      <c r="F66" s="2">
        <f>10900+5331+19055+9380+10622+8898+7402+12582+3800+4850+5024+4268+11669+16531+11339+16528+8119+13444+15181+2353+7283+12000+9608+5630</f>
        <v>231797</v>
      </c>
      <c r="G66" s="10">
        <v>429000</v>
      </c>
      <c r="H66" s="2">
        <f>23449+12795+6142+13378+10235+11969+221871+4646+20457+8661+120734+13272+11803</f>
        <v>479412</v>
      </c>
      <c r="I66" s="10">
        <v>33000</v>
      </c>
      <c r="J66" s="2">
        <f>15740+17701</f>
        <v>33441</v>
      </c>
      <c r="K66" s="2"/>
      <c r="L66" s="10">
        <v>0</v>
      </c>
      <c r="N66" s="2"/>
      <c r="O66" s="10">
        <v>99000</v>
      </c>
      <c r="P66" s="2"/>
      <c r="Q66" s="10">
        <v>33000</v>
      </c>
      <c r="R66" s="2">
        <f>6614</f>
        <v>6614</v>
      </c>
      <c r="S66" s="10">
        <v>66000</v>
      </c>
      <c r="T66" s="2">
        <f>6614</f>
        <v>6614</v>
      </c>
      <c r="U66" s="2">
        <v>66000</v>
      </c>
      <c r="V66" s="2">
        <v>33000</v>
      </c>
      <c r="W66" s="18">
        <f t="shared" si="1"/>
        <v>1122000</v>
      </c>
      <c r="X66" s="2">
        <f t="shared" si="2"/>
        <v>849012</v>
      </c>
      <c r="Y66" s="1" t="s">
        <v>22</v>
      </c>
    </row>
    <row r="67" spans="1:25" x14ac:dyDescent="0.25">
      <c r="A67" s="17">
        <v>55</v>
      </c>
      <c r="B67" s="1" t="s">
        <v>39</v>
      </c>
      <c r="D67" s="2"/>
      <c r="F67" s="2"/>
      <c r="H67" s="2"/>
      <c r="I67" s="10">
        <v>120000</v>
      </c>
      <c r="J67" s="2">
        <f>60000+30000+30000+30000</f>
        <v>150000</v>
      </c>
      <c r="K67" s="2"/>
      <c r="L67" s="10">
        <v>0</v>
      </c>
      <c r="N67" s="2"/>
      <c r="P67" s="2"/>
      <c r="Q67" s="2"/>
      <c r="R67" s="2">
        <v>0</v>
      </c>
      <c r="U67" s="2"/>
      <c r="V67" s="2"/>
      <c r="W67" s="18">
        <f t="shared" si="1"/>
        <v>120000</v>
      </c>
      <c r="X67" s="2">
        <f t="shared" si="2"/>
        <v>150000</v>
      </c>
      <c r="Y67" s="1" t="s">
        <v>39</v>
      </c>
    </row>
    <row r="68" spans="1:25" x14ac:dyDescent="0.25">
      <c r="A68" s="17">
        <v>56</v>
      </c>
      <c r="B68" s="1" t="s">
        <v>101</v>
      </c>
      <c r="D68" s="2"/>
      <c r="F68" s="2"/>
      <c r="H68" s="2"/>
      <c r="J68" s="2"/>
      <c r="K68" s="2"/>
      <c r="L68" s="10">
        <v>0</v>
      </c>
      <c r="N68" s="2"/>
      <c r="O68" s="10">
        <v>2140000</v>
      </c>
      <c r="P68" s="2">
        <v>0</v>
      </c>
      <c r="Q68" s="2"/>
      <c r="R68" s="2">
        <v>0</v>
      </c>
      <c r="U68" s="2"/>
      <c r="V68" s="2"/>
      <c r="W68" s="18">
        <f t="shared" si="1"/>
        <v>2140000</v>
      </c>
      <c r="X68" s="2">
        <f t="shared" si="2"/>
        <v>0</v>
      </c>
      <c r="Y68" s="1" t="s">
        <v>101</v>
      </c>
    </row>
    <row r="69" spans="1:25" x14ac:dyDescent="0.25">
      <c r="A69" s="17">
        <v>57</v>
      </c>
      <c r="B69" s="1" t="s">
        <v>100</v>
      </c>
      <c r="D69" s="2"/>
      <c r="E69" s="10">
        <v>75000</v>
      </c>
      <c r="F69" s="2">
        <v>68000</v>
      </c>
      <c r="H69" s="2"/>
      <c r="J69" s="2"/>
      <c r="K69" s="2"/>
      <c r="N69" s="2"/>
      <c r="P69" s="2"/>
      <c r="Q69" s="2"/>
      <c r="R69" s="2"/>
      <c r="U69" s="2"/>
      <c r="V69" s="2"/>
      <c r="W69" s="18">
        <f t="shared" si="1"/>
        <v>75000</v>
      </c>
      <c r="X69" s="2">
        <f t="shared" si="2"/>
        <v>68000</v>
      </c>
      <c r="Y69" s="1" t="s">
        <v>100</v>
      </c>
    </row>
    <row r="70" spans="1:25" x14ac:dyDescent="0.25">
      <c r="A70" s="17">
        <v>96</v>
      </c>
      <c r="B70" s="70" t="s">
        <v>144</v>
      </c>
      <c r="C70" s="67"/>
      <c r="D70" s="67"/>
      <c r="E70" s="67"/>
      <c r="F70" s="67"/>
      <c r="G70" s="67"/>
      <c r="H70" s="67"/>
      <c r="I70" s="67">
        <v>52000</v>
      </c>
      <c r="J70" s="67"/>
      <c r="K70" s="67"/>
      <c r="L70" s="67"/>
      <c r="M70" s="67"/>
      <c r="N70" s="67"/>
      <c r="O70" s="67"/>
      <c r="P70" s="67"/>
      <c r="Q70" s="67"/>
      <c r="R70" s="75"/>
      <c r="S70" s="75"/>
      <c r="T70" s="76"/>
      <c r="U70" s="75"/>
      <c r="V70" s="75"/>
      <c r="W70" s="18">
        <f>C70+E70+G70+O70+I70+K70+M70+Q70+U70+S70</f>
        <v>52000</v>
      </c>
      <c r="X70" s="2">
        <f>D70+F70+H70+P70+J70+L70+N70+R70+T70+V70</f>
        <v>0</v>
      </c>
      <c r="Y70" s="70" t="s">
        <v>144</v>
      </c>
    </row>
    <row r="71" spans="1:25" x14ac:dyDescent="0.25">
      <c r="A71" s="17">
        <v>58</v>
      </c>
      <c r="B71" s="1" t="s">
        <v>35</v>
      </c>
      <c r="D71" s="2"/>
      <c r="F71" s="2"/>
      <c r="H71" s="2"/>
      <c r="I71" s="2">
        <v>2903040</v>
      </c>
      <c r="J71" s="2">
        <v>2206657</v>
      </c>
      <c r="L71" s="10">
        <v>0</v>
      </c>
      <c r="N71" s="2"/>
      <c r="P71" s="2"/>
      <c r="Q71" s="2"/>
      <c r="R71" s="2">
        <v>0</v>
      </c>
      <c r="U71" s="2"/>
      <c r="V71" s="2"/>
      <c r="W71" s="18">
        <f t="shared" si="1"/>
        <v>2903040</v>
      </c>
      <c r="X71" s="2">
        <f t="shared" si="2"/>
        <v>2206657</v>
      </c>
      <c r="Y71" s="1" t="s">
        <v>35</v>
      </c>
    </row>
    <row r="72" spans="1:25" x14ac:dyDescent="0.25">
      <c r="A72" s="17">
        <v>59</v>
      </c>
      <c r="B72" s="1" t="s">
        <v>28</v>
      </c>
      <c r="D72" s="2"/>
      <c r="F72" s="2"/>
      <c r="H72" s="2"/>
      <c r="I72" s="10">
        <v>90000</v>
      </c>
      <c r="J72" s="2">
        <f>7550+9715+9990+6210+3045+10305+10115+5015+5260+4370+6205+6055</f>
        <v>83835</v>
      </c>
      <c r="K72" s="2"/>
      <c r="L72" s="10">
        <v>0</v>
      </c>
      <c r="N72" s="2"/>
      <c r="P72" s="2"/>
      <c r="Q72" s="2"/>
      <c r="R72" s="2">
        <v>0</v>
      </c>
      <c r="U72" s="2"/>
      <c r="V72" s="2"/>
      <c r="W72" s="18">
        <f t="shared" si="1"/>
        <v>90000</v>
      </c>
      <c r="X72" s="2">
        <f t="shared" si="2"/>
        <v>83835</v>
      </c>
      <c r="Y72" s="1" t="s">
        <v>28</v>
      </c>
    </row>
    <row r="73" spans="1:25" x14ac:dyDescent="0.25">
      <c r="A73" s="17">
        <v>60</v>
      </c>
      <c r="B73" s="1" t="s">
        <v>34</v>
      </c>
      <c r="C73" s="10">
        <v>10000</v>
      </c>
      <c r="D73" s="2"/>
      <c r="E73" s="10">
        <v>20000</v>
      </c>
      <c r="F73" s="2"/>
      <c r="H73" s="2"/>
      <c r="J73" s="2"/>
      <c r="K73" s="2"/>
      <c r="L73" s="10">
        <v>0</v>
      </c>
      <c r="N73" s="2"/>
      <c r="O73" s="10">
        <v>10000</v>
      </c>
      <c r="P73" s="2"/>
      <c r="Q73" s="2"/>
      <c r="R73" s="2">
        <v>0</v>
      </c>
      <c r="U73" s="2"/>
      <c r="V73" s="2"/>
      <c r="W73" s="18">
        <f t="shared" si="1"/>
        <v>40000</v>
      </c>
      <c r="X73" s="2">
        <f t="shared" si="2"/>
        <v>0</v>
      </c>
      <c r="Y73" s="1" t="s">
        <v>34</v>
      </c>
    </row>
    <row r="74" spans="1:25" x14ac:dyDescent="0.25">
      <c r="A74" s="17">
        <v>61</v>
      </c>
      <c r="B74" s="1" t="s">
        <v>75</v>
      </c>
      <c r="C74" s="10">
        <v>470000</v>
      </c>
      <c r="D74" s="2"/>
      <c r="F74" s="2"/>
      <c r="H74" s="2"/>
      <c r="J74" s="2"/>
      <c r="K74" s="2"/>
      <c r="N74" s="2"/>
      <c r="P74" s="2"/>
      <c r="Q74" s="2"/>
      <c r="R74" s="2"/>
      <c r="U74" s="2"/>
      <c r="V74" s="2"/>
      <c r="W74" s="18">
        <f t="shared" si="1"/>
        <v>470000</v>
      </c>
      <c r="X74" s="2">
        <f t="shared" si="2"/>
        <v>0</v>
      </c>
      <c r="Y74" s="1" t="s">
        <v>75</v>
      </c>
    </row>
    <row r="75" spans="1:25" x14ac:dyDescent="0.25">
      <c r="A75" s="17">
        <v>62</v>
      </c>
      <c r="B75" s="4" t="s">
        <v>96</v>
      </c>
      <c r="D75" s="2"/>
      <c r="F75" s="2"/>
      <c r="H75" s="2"/>
      <c r="J75" s="2"/>
      <c r="K75" s="2"/>
      <c r="N75" s="2"/>
      <c r="P75" s="2"/>
      <c r="Q75" s="2"/>
      <c r="R75" s="2"/>
      <c r="S75" s="10">
        <v>276000</v>
      </c>
      <c r="U75" s="2"/>
      <c r="V75" s="2"/>
      <c r="W75" s="18">
        <f t="shared" si="1"/>
        <v>276000</v>
      </c>
      <c r="X75" s="2">
        <f t="shared" si="2"/>
        <v>0</v>
      </c>
      <c r="Y75" s="4" t="s">
        <v>96</v>
      </c>
    </row>
    <row r="76" spans="1:25" ht="31.15" customHeight="1" x14ac:dyDescent="0.25">
      <c r="A76" s="17">
        <v>63</v>
      </c>
      <c r="B76" s="1" t="s">
        <v>93</v>
      </c>
      <c r="D76" s="2"/>
      <c r="F76" s="2"/>
      <c r="G76" s="10">
        <v>15000</v>
      </c>
      <c r="H76" s="2">
        <f>6531</f>
        <v>6531</v>
      </c>
      <c r="J76" s="2"/>
      <c r="K76" s="2"/>
      <c r="N76" s="2"/>
      <c r="P76" s="2"/>
      <c r="Q76" s="2"/>
      <c r="R76" s="2"/>
      <c r="U76" s="2"/>
      <c r="V76" s="2"/>
      <c r="W76" s="18">
        <f t="shared" si="1"/>
        <v>15000</v>
      </c>
      <c r="X76" s="2">
        <f t="shared" si="2"/>
        <v>6531</v>
      </c>
      <c r="Y76" s="1" t="s">
        <v>93</v>
      </c>
    </row>
    <row r="77" spans="1:25" x14ac:dyDescent="0.25">
      <c r="A77" s="17">
        <v>64</v>
      </c>
      <c r="B77" s="1" t="s">
        <v>135</v>
      </c>
      <c r="C77" s="10">
        <v>60000</v>
      </c>
      <c r="D77" s="2">
        <f>5283+5454+5722+5328+5371+5231+5234+5246+5404+5221+5252</f>
        <v>58746</v>
      </c>
      <c r="E77" s="10">
        <v>12000</v>
      </c>
      <c r="F77" s="2"/>
      <c r="H77" s="2"/>
      <c r="I77" s="10">
        <v>410000</v>
      </c>
      <c r="J77" s="2">
        <f>32384+33764+33663+33595+33715+37680+34192+28190+34641+30035+44323+33722</f>
        <v>409904</v>
      </c>
      <c r="K77" s="2"/>
      <c r="L77" s="10">
        <v>0</v>
      </c>
      <c r="N77" s="2"/>
      <c r="O77" s="10">
        <v>110000</v>
      </c>
      <c r="P77" s="2">
        <f>7752+6039+7752+6170+5548+7752+6443+7751+7033+7752+7752+6952+6845+7752+6646</f>
        <v>105939</v>
      </c>
      <c r="Q77" s="2"/>
      <c r="R77" s="2">
        <v>0</v>
      </c>
      <c r="U77" s="2"/>
      <c r="V77" s="2"/>
      <c r="W77" s="18">
        <f t="shared" si="1"/>
        <v>592000</v>
      </c>
      <c r="X77" s="2">
        <f t="shared" si="2"/>
        <v>574589</v>
      </c>
      <c r="Y77" s="1" t="s">
        <v>135</v>
      </c>
    </row>
    <row r="78" spans="1:25" x14ac:dyDescent="0.25">
      <c r="A78" s="17">
        <v>65</v>
      </c>
      <c r="B78" s="1" t="s">
        <v>42</v>
      </c>
      <c r="C78" s="10">
        <v>250000</v>
      </c>
      <c r="D78" s="2"/>
      <c r="E78" s="10">
        <v>50000</v>
      </c>
      <c r="F78" s="2"/>
      <c r="H78" s="2"/>
      <c r="J78" s="2"/>
      <c r="K78" s="2"/>
      <c r="L78" s="10">
        <v>0</v>
      </c>
      <c r="N78" s="2"/>
      <c r="P78" s="2"/>
      <c r="Q78" s="2"/>
      <c r="R78" s="2">
        <v>0</v>
      </c>
      <c r="S78" s="10">
        <v>1000000</v>
      </c>
      <c r="T78" s="2">
        <f>707983</f>
        <v>707983</v>
      </c>
      <c r="U78" s="2"/>
      <c r="V78" s="2"/>
      <c r="W78" s="18">
        <f t="shared" si="1"/>
        <v>1300000</v>
      </c>
      <c r="X78" s="2">
        <f t="shared" si="2"/>
        <v>707983</v>
      </c>
      <c r="Y78" s="1" t="s">
        <v>42</v>
      </c>
    </row>
    <row r="79" spans="1:25" x14ac:dyDescent="0.25">
      <c r="A79" s="17">
        <v>66</v>
      </c>
      <c r="B79" s="1" t="s">
        <v>128</v>
      </c>
      <c r="C79" s="10">
        <v>250000</v>
      </c>
      <c r="D79" s="2">
        <f>50613+50613+50613+20000+50613</f>
        <v>222452</v>
      </c>
      <c r="F79" s="2"/>
      <c r="H79" s="2"/>
      <c r="J79" s="2"/>
      <c r="K79" s="2"/>
      <c r="L79" s="10">
        <v>0</v>
      </c>
      <c r="N79" s="2"/>
      <c r="P79" s="2"/>
      <c r="Q79" s="2"/>
      <c r="R79" s="2">
        <v>0</v>
      </c>
      <c r="U79" s="2"/>
      <c r="V79" s="2"/>
      <c r="W79" s="18">
        <f t="shared" si="1"/>
        <v>250000</v>
      </c>
      <c r="X79" s="2">
        <f t="shared" si="2"/>
        <v>222452</v>
      </c>
      <c r="Y79" s="1" t="s">
        <v>128</v>
      </c>
    </row>
    <row r="80" spans="1:25" x14ac:dyDescent="0.25">
      <c r="A80" s="17">
        <v>67</v>
      </c>
      <c r="B80" s="1" t="s">
        <v>124</v>
      </c>
      <c r="C80" s="10">
        <v>250000</v>
      </c>
      <c r="D80" s="2">
        <f>180000+50000</f>
        <v>230000</v>
      </c>
      <c r="F80" s="2"/>
      <c r="H80" s="2"/>
      <c r="J80" s="2"/>
      <c r="K80" s="2"/>
      <c r="L80" s="10">
        <v>0</v>
      </c>
      <c r="N80" s="2"/>
      <c r="P80" s="2"/>
      <c r="Q80" s="2"/>
      <c r="R80" s="2">
        <v>0</v>
      </c>
      <c r="S80" s="10">
        <v>31500</v>
      </c>
      <c r="U80" s="2"/>
      <c r="V80" s="2"/>
      <c r="W80" s="18">
        <f t="shared" si="1"/>
        <v>281500</v>
      </c>
      <c r="X80" s="2">
        <f t="shared" si="2"/>
        <v>230000</v>
      </c>
      <c r="Y80" s="1" t="s">
        <v>124</v>
      </c>
    </row>
    <row r="81" spans="1:27" x14ac:dyDescent="0.25">
      <c r="A81" s="17">
        <v>68</v>
      </c>
      <c r="B81" s="88" t="s">
        <v>180</v>
      </c>
      <c r="D81" s="2"/>
      <c r="F81" s="6"/>
      <c r="G81" s="89">
        <v>13500000</v>
      </c>
      <c r="H81" s="6"/>
      <c r="J81" s="2"/>
      <c r="K81" s="2"/>
      <c r="N81" s="2"/>
      <c r="P81" s="6"/>
      <c r="Q81" s="6"/>
      <c r="R81" s="2"/>
      <c r="U81" s="2"/>
      <c r="V81" s="2"/>
      <c r="W81" s="18">
        <f t="shared" ref="W81:W87" si="3">C81+E81+G81+O81+I81+K81+M81+Q81+U81+S81</f>
        <v>13500000</v>
      </c>
      <c r="X81" s="2">
        <f t="shared" ref="X81:X87" si="4">D81+F81+H81+P81+J81+L81+N81+R81+T81+V81</f>
        <v>0</v>
      </c>
      <c r="Y81" s="88" t="s">
        <v>180</v>
      </c>
    </row>
    <row r="82" spans="1:27" x14ac:dyDescent="0.25">
      <c r="A82" s="17">
        <v>69</v>
      </c>
      <c r="B82" s="88" t="s">
        <v>179</v>
      </c>
      <c r="D82" s="2"/>
      <c r="F82" s="6"/>
      <c r="G82" s="89">
        <v>11500000</v>
      </c>
      <c r="H82" s="6">
        <f>114000+11475+60570+605700+4260000+145500+126000+13000+15500+3875+3875+15500+168000-4275+1507896+4354+114000+114000+114000+114000+114000+114000+785880+120000+12300+4100+36900+36900+36900+36900+36900+24600+24600+36900+36900+430100+180000+747728+989640+3425+1102+120000</f>
        <v>11436745</v>
      </c>
      <c r="J82" s="2"/>
      <c r="K82" s="2"/>
      <c r="L82" s="10">
        <v>0</v>
      </c>
      <c r="N82" s="2"/>
      <c r="P82" s="6"/>
      <c r="Q82" s="6"/>
      <c r="R82" s="2">
        <v>0</v>
      </c>
      <c r="U82" s="2"/>
      <c r="V82" s="2"/>
      <c r="W82" s="18">
        <f t="shared" si="3"/>
        <v>11500000</v>
      </c>
      <c r="X82" s="2">
        <f t="shared" si="4"/>
        <v>11436745</v>
      </c>
      <c r="Y82" s="88" t="s">
        <v>179</v>
      </c>
    </row>
    <row r="83" spans="1:27" x14ac:dyDescent="0.25">
      <c r="A83" s="17">
        <v>70</v>
      </c>
      <c r="B83" s="32" t="s">
        <v>38</v>
      </c>
      <c r="D83" s="2"/>
      <c r="F83" s="6"/>
      <c r="H83" s="6"/>
      <c r="I83" s="10">
        <v>325500</v>
      </c>
      <c r="J83" s="2">
        <v>316000</v>
      </c>
      <c r="K83" s="2"/>
      <c r="L83" s="10">
        <v>0</v>
      </c>
      <c r="N83" s="2"/>
      <c r="P83" s="6"/>
      <c r="Q83" s="6"/>
      <c r="R83" s="2">
        <v>0</v>
      </c>
      <c r="U83" s="2"/>
      <c r="V83" s="2"/>
      <c r="W83" s="18">
        <f t="shared" si="3"/>
        <v>325500</v>
      </c>
      <c r="X83" s="2">
        <f t="shared" si="4"/>
        <v>316000</v>
      </c>
      <c r="Y83" s="32" t="s">
        <v>38</v>
      </c>
    </row>
    <row r="84" spans="1:27" x14ac:dyDescent="0.25">
      <c r="A84" s="17">
        <v>71</v>
      </c>
      <c r="B84" s="32" t="s">
        <v>29</v>
      </c>
      <c r="C84" s="10">
        <v>720000</v>
      </c>
      <c r="D84" s="2">
        <f>50000+50000+9000+50000+50000+50000+50000+50000+50000+50000+50000+50000+50000</f>
        <v>609000</v>
      </c>
      <c r="F84" s="6"/>
      <c r="H84" s="6"/>
      <c r="J84" s="2"/>
      <c r="K84" s="2"/>
      <c r="L84" s="10">
        <v>0</v>
      </c>
      <c r="N84" s="2"/>
      <c r="O84" s="10">
        <v>600000</v>
      </c>
      <c r="P84" s="6">
        <f>50000+50000+50000+50000+50000+50000+50000+73819+50000+50000+50000+50000+50000</f>
        <v>673819</v>
      </c>
      <c r="Q84" s="6"/>
      <c r="R84" s="2">
        <v>0</v>
      </c>
      <c r="U84" s="2"/>
      <c r="V84" s="2"/>
      <c r="W84" s="18">
        <f t="shared" si="3"/>
        <v>1320000</v>
      </c>
      <c r="X84" s="2">
        <f t="shared" si="4"/>
        <v>1282819</v>
      </c>
      <c r="Y84" s="32" t="s">
        <v>29</v>
      </c>
    </row>
    <row r="85" spans="1:27" x14ac:dyDescent="0.25">
      <c r="A85" s="17">
        <v>72</v>
      </c>
      <c r="B85" s="32" t="s">
        <v>40</v>
      </c>
      <c r="D85" s="6"/>
      <c r="F85" s="6"/>
      <c r="H85" s="6"/>
      <c r="I85" s="10">
        <v>250000</v>
      </c>
      <c r="J85" s="2">
        <f>13720+12005+32240+6228-8500+8500+17000+7823+5543+25500+9755+6690+12750+13039+5216+21140+11150+11150+7257+13039</f>
        <v>231245</v>
      </c>
      <c r="K85" s="2"/>
      <c r="L85" s="10">
        <v>0</v>
      </c>
      <c r="N85" s="2"/>
      <c r="P85" s="6"/>
      <c r="Q85" s="6"/>
      <c r="R85" s="2">
        <v>0</v>
      </c>
      <c r="U85" s="2"/>
      <c r="V85" s="2"/>
      <c r="W85" s="18">
        <f t="shared" si="3"/>
        <v>250000</v>
      </c>
      <c r="X85" s="2">
        <f t="shared" si="4"/>
        <v>231245</v>
      </c>
      <c r="Y85" s="32" t="s">
        <v>40</v>
      </c>
    </row>
    <row r="86" spans="1:27" x14ac:dyDescent="0.25">
      <c r="A86" s="17">
        <v>73</v>
      </c>
      <c r="B86" s="35" t="s">
        <v>44</v>
      </c>
      <c r="C86" s="10">
        <v>120000</v>
      </c>
      <c r="D86" s="2">
        <f>472+499+1089+270000+1440+9370</f>
        <v>282870</v>
      </c>
      <c r="E86" s="10">
        <v>40000</v>
      </c>
      <c r="F86" s="2"/>
      <c r="G86" s="10">
        <v>40000</v>
      </c>
      <c r="H86" s="2">
        <f>9008+11220+1432+2263+13715</f>
        <v>37638</v>
      </c>
      <c r="J86" s="2"/>
      <c r="K86" s="2"/>
      <c r="L86" s="2">
        <v>0</v>
      </c>
      <c r="M86" s="10">
        <v>0</v>
      </c>
      <c r="N86" s="2">
        <f>3307+6960+2160+21190</f>
        <v>33617</v>
      </c>
      <c r="O86" s="10">
        <v>174000</v>
      </c>
      <c r="P86" s="2">
        <f>7230+544</f>
        <v>7774</v>
      </c>
      <c r="Q86" s="10">
        <v>0</v>
      </c>
      <c r="R86" s="2">
        <f>18822+4175</f>
        <v>22997</v>
      </c>
      <c r="S86" s="10">
        <v>0</v>
      </c>
      <c r="T86" s="3">
        <f>20000+4724+5700+7228+33591</f>
        <v>71243</v>
      </c>
      <c r="U86" s="10">
        <v>20000</v>
      </c>
      <c r="V86" s="3">
        <f>9680</f>
        <v>9680</v>
      </c>
      <c r="W86" s="18">
        <f t="shared" si="3"/>
        <v>394000</v>
      </c>
      <c r="X86" s="2">
        <f t="shared" si="4"/>
        <v>465819</v>
      </c>
      <c r="Y86" s="35" t="s">
        <v>44</v>
      </c>
    </row>
    <row r="87" spans="1:27" ht="52.5" customHeight="1" x14ac:dyDescent="0.25">
      <c r="A87" s="17">
        <v>74</v>
      </c>
      <c r="B87" s="34" t="s">
        <v>11</v>
      </c>
      <c r="C87" s="10">
        <v>750000</v>
      </c>
      <c r="D87" s="2">
        <f>10339+19299+1723+7222+13480+1204+7222+1204+13480+10339+1723+19299+10339+1723+19299+7221+1204+13480+7221+13480+1204+10339+19299+1723+28129+4688+52509+36511+6085+68154+8172+1362+15254+11785+1964+21998+8172+1362+15254+11785+1964+21998+11785+1964+21998+8172+1362+15254+8172+15254+1362+11785+21998+1964+8172+15254+1362+11785+21998+1964</f>
        <v>711817</v>
      </c>
      <c r="E87" s="10">
        <v>75000</v>
      </c>
      <c r="F87" s="2">
        <f>3102+2166+2166+3101+3102+2166+2167+3102+8439+10953+2452+3536+2452+3535+3535+2452+2452+3536+2452+3536</f>
        <v>70402</v>
      </c>
      <c r="H87" s="2"/>
      <c r="J87" s="2"/>
      <c r="K87" s="2"/>
      <c r="L87" s="2">
        <v>0</v>
      </c>
      <c r="N87" s="2"/>
      <c r="O87" s="10">
        <v>1500000</v>
      </c>
      <c r="P87" s="2">
        <f>1896+10344+37800+43080+49944+105912+109608+571080+326088+138120+23544</f>
        <v>1417416</v>
      </c>
      <c r="Q87" s="10">
        <v>100000</v>
      </c>
      <c r="R87" s="2">
        <f>280+280+3172+9197+9679+14740+13294+13535+5100+6546+3413</f>
        <v>79236</v>
      </c>
      <c r="T87" s="3"/>
      <c r="V87" s="3"/>
      <c r="W87" s="18">
        <f t="shared" si="3"/>
        <v>2425000</v>
      </c>
      <c r="X87" s="2">
        <f t="shared" si="4"/>
        <v>2278871</v>
      </c>
      <c r="Y87" s="34" t="s">
        <v>11</v>
      </c>
    </row>
    <row r="88" spans="1:27" x14ac:dyDescent="0.25">
      <c r="A88" s="17">
        <v>75</v>
      </c>
      <c r="B88" s="35" t="s">
        <v>26</v>
      </c>
      <c r="D88" s="2"/>
      <c r="E88" s="10">
        <v>40000</v>
      </c>
      <c r="F88" s="2"/>
      <c r="H88" s="2"/>
      <c r="J88" s="2"/>
      <c r="K88" s="2"/>
      <c r="L88" s="2">
        <v>0</v>
      </c>
      <c r="N88" s="2"/>
      <c r="P88" s="2"/>
      <c r="R88" s="2"/>
      <c r="T88" s="3"/>
      <c r="V88" s="3"/>
      <c r="W88" s="18">
        <f>C88+E88+G88+O88+I88+K88+M88+Q88+U88+S88</f>
        <v>40000</v>
      </c>
      <c r="X88" s="2">
        <f>D88+F88+H88+P88+J88+L88+N88+R88+T88+V88</f>
        <v>0</v>
      </c>
      <c r="Y88" s="35" t="s">
        <v>26</v>
      </c>
    </row>
    <row r="89" spans="1:27" x14ac:dyDescent="0.25">
      <c r="A89" s="17">
        <v>76</v>
      </c>
      <c r="B89" s="32" t="s">
        <v>123</v>
      </c>
      <c r="C89" s="10">
        <v>300000</v>
      </c>
      <c r="D89" s="6">
        <f>46000+4394+70000+7114+93000+5827+4656+3894+468+3189+630+9800+4370+1457+36656+8599+2580</f>
        <v>302634</v>
      </c>
      <c r="E89" s="10">
        <v>20000</v>
      </c>
      <c r="F89" s="6">
        <f>1223+4632+5565</f>
        <v>11420</v>
      </c>
      <c r="H89" s="6"/>
      <c r="J89" s="2"/>
      <c r="K89" s="2"/>
      <c r="L89" s="10">
        <v>0</v>
      </c>
      <c r="N89" s="2">
        <f>2993</f>
        <v>2993</v>
      </c>
      <c r="O89" s="10">
        <v>60000</v>
      </c>
      <c r="P89" s="6"/>
      <c r="Q89" s="10">
        <v>217000</v>
      </c>
      <c r="R89" s="6">
        <f>7583+6397</f>
        <v>13980</v>
      </c>
      <c r="S89" s="10">
        <v>0</v>
      </c>
      <c r="T89" s="2">
        <f>6339+965+1390+2858+7500+19700+4985+16600+13598+3835+116609</f>
        <v>194379</v>
      </c>
      <c r="U89" s="10">
        <v>50000</v>
      </c>
      <c r="V89" s="2">
        <f>331</f>
        <v>331</v>
      </c>
      <c r="W89" s="18">
        <f>C89+E89+G89+O89+I89+K89+M89+Q89+U89+S89</f>
        <v>647000</v>
      </c>
      <c r="X89" s="2">
        <f>D89+F89+H89+P89+J89+L89+N89+R89+T89+V89</f>
        <v>525737</v>
      </c>
      <c r="Y89" s="32" t="s">
        <v>123</v>
      </c>
    </row>
    <row r="90" spans="1:27" x14ac:dyDescent="0.25">
      <c r="A90" s="17">
        <v>105</v>
      </c>
      <c r="B90" s="35" t="s">
        <v>92</v>
      </c>
      <c r="C90" s="10">
        <v>730000</v>
      </c>
      <c r="D90" s="2"/>
      <c r="E90" s="2">
        <v>85000</v>
      </c>
      <c r="F90" s="6"/>
      <c r="G90" s="10">
        <v>85000</v>
      </c>
      <c r="H90" s="2"/>
      <c r="I90" s="2">
        <v>95000</v>
      </c>
      <c r="J90" s="2"/>
      <c r="K90" s="2"/>
      <c r="L90" s="2">
        <v>0</v>
      </c>
      <c r="M90" s="2"/>
      <c r="N90" s="2"/>
      <c r="O90" s="2"/>
      <c r="P90" s="6"/>
      <c r="Q90" s="2"/>
      <c r="R90" s="3">
        <v>0</v>
      </c>
      <c r="S90" s="3"/>
      <c r="U90" s="3"/>
      <c r="V90" s="3"/>
      <c r="W90" s="18">
        <f>C90+E90+G90+O90+I90+K90+M90+Q90+U90+S90</f>
        <v>995000</v>
      </c>
      <c r="X90" s="2">
        <f>D90+F90+H90+P90+J90+L90+N90+R90+T90+V90</f>
        <v>0</v>
      </c>
      <c r="Y90" s="35" t="s">
        <v>92</v>
      </c>
    </row>
    <row r="91" spans="1:27" x14ac:dyDescent="0.25">
      <c r="A91" s="17">
        <v>77</v>
      </c>
      <c r="B91" s="1" t="s">
        <v>82</v>
      </c>
      <c r="C91" s="10">
        <v>12000</v>
      </c>
      <c r="D91" s="6"/>
      <c r="F91" s="6"/>
      <c r="G91" s="10">
        <v>60000</v>
      </c>
      <c r="H91" s="6"/>
      <c r="J91" s="2"/>
      <c r="K91" s="2"/>
      <c r="N91" s="2"/>
      <c r="O91" s="10">
        <v>24000</v>
      </c>
      <c r="P91" s="6"/>
      <c r="Q91" s="6"/>
      <c r="R91" s="2"/>
      <c r="S91" s="10">
        <v>24000</v>
      </c>
      <c r="U91" s="2">
        <v>24000</v>
      </c>
      <c r="V91" s="2"/>
      <c r="W91" s="18">
        <f>C91+E91+G91+O91+I91+K91+M91+Q91+U91+S91</f>
        <v>144000</v>
      </c>
      <c r="X91" s="2">
        <f>D91+F91+H91+P91+J91+L91+N91+R91+T91+V91</f>
        <v>0</v>
      </c>
      <c r="Y91" s="1" t="s">
        <v>82</v>
      </c>
    </row>
    <row r="92" spans="1:27" x14ac:dyDescent="0.25">
      <c r="A92" s="17">
        <v>78</v>
      </c>
      <c r="B92" s="1" t="s">
        <v>41</v>
      </c>
      <c r="D92" s="6"/>
      <c r="E92" s="10">
        <v>71500</v>
      </c>
      <c r="F92" s="6">
        <v>71500</v>
      </c>
      <c r="H92" s="6"/>
      <c r="J92" s="2"/>
      <c r="K92" s="2"/>
      <c r="L92" s="10">
        <v>0</v>
      </c>
      <c r="N92" s="2"/>
      <c r="P92" s="6"/>
      <c r="Q92" s="6"/>
      <c r="R92" s="2">
        <v>0</v>
      </c>
      <c r="S92" s="10">
        <v>63000</v>
      </c>
      <c r="T92" s="10"/>
      <c r="U92" s="2"/>
      <c r="V92" s="2"/>
      <c r="W92" s="18">
        <f>C92+E92+G92+O92+I92+K92+M92+Q92+U92+S92</f>
        <v>134500</v>
      </c>
      <c r="X92" s="2">
        <f>D92+F92+H92+P92+J92+L92+N92+R92+T92+V92</f>
        <v>71500</v>
      </c>
      <c r="Y92" s="1" t="s">
        <v>41</v>
      </c>
    </row>
    <row r="93" spans="1:27" ht="16.5" thickBot="1" x14ac:dyDescent="0.3">
      <c r="A93" s="17">
        <v>79</v>
      </c>
      <c r="B93" s="20" t="s">
        <v>110</v>
      </c>
      <c r="C93" s="21">
        <f>SUM(C14:C92)</f>
        <v>17813000</v>
      </c>
      <c r="D93" s="21">
        <f t="shared" ref="D93:X93" si="5">SUM(D15:D92)</f>
        <v>14275878</v>
      </c>
      <c r="E93" s="21">
        <f t="shared" si="5"/>
        <v>53218967</v>
      </c>
      <c r="F93" s="21">
        <f t="shared" si="5"/>
        <v>49457692</v>
      </c>
      <c r="G93" s="21">
        <f>SUM(G15:G92)</f>
        <v>31840578</v>
      </c>
      <c r="H93" s="21">
        <f t="shared" si="5"/>
        <v>16036655</v>
      </c>
      <c r="I93" s="21">
        <f t="shared" si="5"/>
        <v>21052640</v>
      </c>
      <c r="J93" s="21">
        <f t="shared" si="5"/>
        <v>18210856</v>
      </c>
      <c r="K93" s="21">
        <f t="shared" si="5"/>
        <v>640000</v>
      </c>
      <c r="L93" s="21">
        <f t="shared" si="5"/>
        <v>637300</v>
      </c>
      <c r="M93" s="21">
        <f t="shared" si="5"/>
        <v>20000</v>
      </c>
      <c r="N93" s="21">
        <f t="shared" si="5"/>
        <v>175748</v>
      </c>
      <c r="O93" s="21">
        <f t="shared" si="5"/>
        <v>6362000</v>
      </c>
      <c r="P93" s="21">
        <f t="shared" si="5"/>
        <v>3662407</v>
      </c>
      <c r="Q93" s="21">
        <f t="shared" si="5"/>
        <v>726640</v>
      </c>
      <c r="R93" s="21">
        <f t="shared" si="5"/>
        <v>489926</v>
      </c>
      <c r="S93" s="21">
        <f t="shared" si="5"/>
        <v>3112200</v>
      </c>
      <c r="T93" s="21">
        <f t="shared" si="5"/>
        <v>1858335</v>
      </c>
      <c r="U93" s="21">
        <f t="shared" si="5"/>
        <v>1080000</v>
      </c>
      <c r="V93" s="21">
        <f t="shared" si="5"/>
        <v>71664</v>
      </c>
      <c r="W93" s="21">
        <f t="shared" si="5"/>
        <v>135866025</v>
      </c>
      <c r="X93" s="370">
        <f t="shared" si="5"/>
        <v>104876461</v>
      </c>
      <c r="Y93" s="20" t="s">
        <v>110</v>
      </c>
      <c r="Z93" s="38"/>
      <c r="AA93" s="38"/>
    </row>
    <row r="94" spans="1:27" x14ac:dyDescent="0.25">
      <c r="A94" s="17"/>
      <c r="B94" s="25"/>
      <c r="C94" s="39"/>
      <c r="D94" s="39"/>
      <c r="E94" s="39">
        <f>E93-E34-E30-E23</f>
        <v>5408020</v>
      </c>
      <c r="F94" s="39">
        <f>F93-F34-F30-F23</f>
        <v>3367565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65"/>
      <c r="U94" s="39"/>
      <c r="V94" s="39"/>
      <c r="W94" s="39"/>
      <c r="X94" s="372"/>
      <c r="Y94" s="25"/>
    </row>
    <row r="95" spans="1:27" x14ac:dyDescent="0.25">
      <c r="A95" s="17"/>
      <c r="B95" s="25" t="s">
        <v>99</v>
      </c>
      <c r="C95" s="39">
        <f t="shared" ref="C95:U95" si="6">C93+C9</f>
        <v>30793520</v>
      </c>
      <c r="D95" s="39">
        <f t="shared" si="6"/>
        <v>33020442.649999999</v>
      </c>
      <c r="E95" s="39">
        <f t="shared" si="6"/>
        <v>83510783</v>
      </c>
      <c r="F95" s="39">
        <f t="shared" si="6"/>
        <v>79105659.289999992</v>
      </c>
      <c r="G95" s="39">
        <f t="shared" si="6"/>
        <v>90229963</v>
      </c>
      <c r="H95" s="39">
        <f t="shared" si="6"/>
        <v>61835864.890000001</v>
      </c>
      <c r="I95" s="39">
        <f t="shared" si="6"/>
        <v>48136802</v>
      </c>
      <c r="J95" s="39">
        <f t="shared" si="6"/>
        <v>50722203.399999999</v>
      </c>
      <c r="K95" s="39">
        <f t="shared" si="6"/>
        <v>640000</v>
      </c>
      <c r="L95" s="39">
        <f t="shared" si="6"/>
        <v>637300</v>
      </c>
      <c r="M95" s="39">
        <f t="shared" si="6"/>
        <v>20000</v>
      </c>
      <c r="N95" s="39">
        <f t="shared" si="6"/>
        <v>175748</v>
      </c>
      <c r="O95" s="39">
        <f t="shared" si="6"/>
        <v>14147670</v>
      </c>
      <c r="P95" s="39">
        <f t="shared" si="6"/>
        <v>9124428.4600000009</v>
      </c>
      <c r="Q95" s="39">
        <f t="shared" si="6"/>
        <v>4247400</v>
      </c>
      <c r="R95" s="39">
        <f t="shared" si="6"/>
        <v>3523924.83</v>
      </c>
      <c r="S95" s="39">
        <f t="shared" si="6"/>
        <v>10337880</v>
      </c>
      <c r="T95" s="39">
        <f t="shared" si="6"/>
        <v>3631435</v>
      </c>
      <c r="U95" s="39">
        <f t="shared" si="6"/>
        <v>5861908</v>
      </c>
      <c r="V95" s="39">
        <f>V93+V9</f>
        <v>1511157</v>
      </c>
      <c r="W95" s="39">
        <f>W93+W9</f>
        <v>287925926</v>
      </c>
      <c r="X95" s="372">
        <f>X93+X9</f>
        <v>243288163.51999998</v>
      </c>
      <c r="Y95" s="25" t="s">
        <v>99</v>
      </c>
    </row>
    <row r="96" spans="1:27" ht="51.6" customHeight="1" thickBot="1" x14ac:dyDescent="0.3">
      <c r="A96" s="17"/>
      <c r="B96" s="25"/>
      <c r="C96" s="445" t="s">
        <v>117</v>
      </c>
      <c r="D96" s="447"/>
      <c r="E96" s="447" t="s">
        <v>118</v>
      </c>
      <c r="F96" s="447"/>
      <c r="G96" s="447" t="s">
        <v>119</v>
      </c>
      <c r="H96" s="447"/>
      <c r="I96" s="445" t="s">
        <v>121</v>
      </c>
      <c r="J96" s="446"/>
      <c r="K96" s="445" t="s">
        <v>116</v>
      </c>
      <c r="L96" s="446"/>
      <c r="M96" s="445" t="s">
        <v>122</v>
      </c>
      <c r="N96" s="446"/>
      <c r="O96" s="447" t="s">
        <v>120</v>
      </c>
      <c r="P96" s="446"/>
      <c r="Q96" s="445" t="s">
        <v>115</v>
      </c>
      <c r="R96" s="446"/>
      <c r="S96" s="445" t="s">
        <v>114</v>
      </c>
      <c r="T96" s="446"/>
      <c r="U96" s="445" t="s">
        <v>113</v>
      </c>
      <c r="V96" s="446"/>
      <c r="W96" s="445" t="s">
        <v>5</v>
      </c>
      <c r="X96" s="446"/>
      <c r="Y96" s="25"/>
    </row>
    <row r="97" spans="1:25" ht="15.75" customHeight="1" x14ac:dyDescent="0.25">
      <c r="A97" s="17"/>
      <c r="B97" s="40" t="s">
        <v>50</v>
      </c>
      <c r="C97" s="13" t="s">
        <v>140</v>
      </c>
      <c r="D97" s="13" t="s">
        <v>111</v>
      </c>
      <c r="E97" s="13" t="s">
        <v>140</v>
      </c>
      <c r="F97" s="13" t="s">
        <v>111</v>
      </c>
      <c r="G97" s="13" t="s">
        <v>140</v>
      </c>
      <c r="H97" s="13" t="s">
        <v>111</v>
      </c>
      <c r="I97" s="13" t="s">
        <v>140</v>
      </c>
      <c r="J97" s="13" t="s">
        <v>111</v>
      </c>
      <c r="K97" s="13" t="s">
        <v>140</v>
      </c>
      <c r="L97" s="13" t="s">
        <v>111</v>
      </c>
      <c r="M97" s="13" t="s">
        <v>140</v>
      </c>
      <c r="N97" s="13" t="s">
        <v>111</v>
      </c>
      <c r="O97" s="13" t="s">
        <v>140</v>
      </c>
      <c r="P97" s="13" t="s">
        <v>111</v>
      </c>
      <c r="Q97" s="13" t="s">
        <v>140</v>
      </c>
      <c r="R97" s="14" t="s">
        <v>111</v>
      </c>
      <c r="S97" s="13" t="s">
        <v>140</v>
      </c>
      <c r="T97" s="14" t="s">
        <v>111</v>
      </c>
      <c r="U97" s="13" t="s">
        <v>140</v>
      </c>
      <c r="V97" s="14" t="s">
        <v>111</v>
      </c>
      <c r="W97" s="13" t="s">
        <v>140</v>
      </c>
      <c r="X97" s="373" t="s">
        <v>111</v>
      </c>
      <c r="Y97" s="40" t="s">
        <v>50</v>
      </c>
    </row>
    <row r="98" spans="1:25" ht="30" x14ac:dyDescent="0.25">
      <c r="A98" s="17">
        <v>1</v>
      </c>
      <c r="B98" s="87" t="s">
        <v>141</v>
      </c>
      <c r="C98" s="67"/>
      <c r="D98" s="67"/>
      <c r="E98" s="67"/>
      <c r="F98" s="67"/>
      <c r="G98" s="67">
        <v>0</v>
      </c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75"/>
      <c r="S98" s="75"/>
      <c r="T98" s="76"/>
      <c r="U98" s="75"/>
      <c r="V98" s="75"/>
      <c r="W98" s="18">
        <f>C98+E98+G98+O98+I98+K98+M98+Q98+U98+S98</f>
        <v>0</v>
      </c>
      <c r="X98" s="2">
        <f t="shared" ref="X98:X123" si="7">D98+F98+H98+P98+J98+L98+N98+R98+T98+V98</f>
        <v>0</v>
      </c>
      <c r="Y98" s="70" t="s">
        <v>141</v>
      </c>
    </row>
    <row r="99" spans="1:25" ht="15.75" customHeight="1" x14ac:dyDescent="0.25">
      <c r="A99" s="17">
        <v>2</v>
      </c>
      <c r="B99" s="87" t="s">
        <v>142</v>
      </c>
      <c r="C99" s="67"/>
      <c r="D99" s="67"/>
      <c r="E99" s="67"/>
      <c r="F99" s="67"/>
      <c r="G99" s="67">
        <v>0</v>
      </c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75"/>
      <c r="S99" s="75"/>
      <c r="T99" s="76"/>
      <c r="U99" s="75"/>
      <c r="V99" s="75"/>
      <c r="W99" s="18">
        <f t="shared" ref="W99:W124" si="8">C99+E99+G99+O99+I99+K99+M99+Q99+U99+S99</f>
        <v>0</v>
      </c>
      <c r="X99" s="2">
        <f t="shared" si="7"/>
        <v>0</v>
      </c>
      <c r="Y99" s="70" t="s">
        <v>142</v>
      </c>
    </row>
    <row r="100" spans="1:25" ht="15.75" customHeight="1" x14ac:dyDescent="0.25">
      <c r="A100" s="17">
        <v>3</v>
      </c>
      <c r="B100" s="71" t="s">
        <v>146</v>
      </c>
      <c r="C100" s="67"/>
      <c r="D100" s="67"/>
      <c r="E100" s="67">
        <v>23622</v>
      </c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75"/>
      <c r="S100" s="75"/>
      <c r="T100" s="76"/>
      <c r="U100" s="75"/>
      <c r="V100" s="75"/>
      <c r="W100" s="18">
        <f t="shared" si="8"/>
        <v>23622</v>
      </c>
      <c r="X100" s="2">
        <f t="shared" si="7"/>
        <v>0</v>
      </c>
      <c r="Y100" s="71" t="s">
        <v>146</v>
      </c>
    </row>
    <row r="101" spans="1:25" ht="15.75" customHeight="1" x14ac:dyDescent="0.25">
      <c r="A101" s="17">
        <v>4</v>
      </c>
      <c r="B101" s="71" t="s">
        <v>147</v>
      </c>
      <c r="C101" s="67"/>
      <c r="D101" s="67"/>
      <c r="E101" s="67">
        <v>27559</v>
      </c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75"/>
      <c r="S101" s="75"/>
      <c r="T101" s="76"/>
      <c r="U101" s="75"/>
      <c r="V101" s="75"/>
      <c r="W101" s="18">
        <f t="shared" si="8"/>
        <v>27559</v>
      </c>
      <c r="X101" s="2">
        <f t="shared" si="7"/>
        <v>0</v>
      </c>
      <c r="Y101" s="71" t="s">
        <v>147</v>
      </c>
    </row>
    <row r="102" spans="1:25" ht="15.75" customHeight="1" x14ac:dyDescent="0.25">
      <c r="A102" s="17">
        <v>5</v>
      </c>
      <c r="B102" s="70" t="s">
        <v>148</v>
      </c>
      <c r="C102" s="67">
        <v>1275000</v>
      </c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75"/>
      <c r="S102" s="75"/>
      <c r="T102" s="76"/>
      <c r="U102" s="75"/>
      <c r="V102" s="75"/>
      <c r="W102" s="18">
        <f t="shared" si="8"/>
        <v>1275000</v>
      </c>
      <c r="X102" s="2">
        <f t="shared" si="7"/>
        <v>0</v>
      </c>
      <c r="Y102" s="70" t="s">
        <v>148</v>
      </c>
    </row>
    <row r="103" spans="1:25" ht="15.75" customHeight="1" x14ac:dyDescent="0.25">
      <c r="A103" s="17">
        <v>6</v>
      </c>
      <c r="B103" s="70" t="s">
        <v>154</v>
      </c>
      <c r="C103" s="67"/>
      <c r="D103" s="67"/>
      <c r="E103" s="67"/>
      <c r="F103" s="67"/>
      <c r="G103" s="67">
        <v>117000</v>
      </c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75"/>
      <c r="S103" s="75"/>
      <c r="T103" s="76"/>
      <c r="U103" s="75"/>
      <c r="V103" s="75"/>
      <c r="W103" s="18">
        <f t="shared" si="8"/>
        <v>117000</v>
      </c>
      <c r="X103" s="2">
        <f t="shared" si="7"/>
        <v>0</v>
      </c>
      <c r="Y103" s="70" t="s">
        <v>154</v>
      </c>
    </row>
    <row r="104" spans="1:25" ht="15.75" customHeight="1" x14ac:dyDescent="0.25">
      <c r="A104" s="17">
        <v>7</v>
      </c>
      <c r="B104" s="70" t="s">
        <v>150</v>
      </c>
      <c r="C104" s="67"/>
      <c r="D104" s="67"/>
      <c r="E104" s="67"/>
      <c r="F104" s="67"/>
      <c r="G104" s="67">
        <v>62000</v>
      </c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75"/>
      <c r="S104" s="75"/>
      <c r="T104" s="76"/>
      <c r="U104" s="75"/>
      <c r="V104" s="75"/>
      <c r="W104" s="18">
        <f t="shared" si="8"/>
        <v>62000</v>
      </c>
      <c r="X104" s="2">
        <f t="shared" si="7"/>
        <v>0</v>
      </c>
      <c r="Y104" s="70" t="s">
        <v>150</v>
      </c>
    </row>
    <row r="105" spans="1:25" ht="15.75" customHeight="1" x14ac:dyDescent="0.25">
      <c r="A105" s="17">
        <v>8</v>
      </c>
      <c r="B105" s="71" t="s">
        <v>151</v>
      </c>
      <c r="C105" s="67"/>
      <c r="D105" s="67"/>
      <c r="E105" s="67">
        <v>397638</v>
      </c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75"/>
      <c r="S105" s="75"/>
      <c r="T105" s="76"/>
      <c r="U105" s="75"/>
      <c r="V105" s="75"/>
      <c r="W105" s="18">
        <f t="shared" si="8"/>
        <v>397638</v>
      </c>
      <c r="X105" s="2">
        <f t="shared" si="7"/>
        <v>0</v>
      </c>
      <c r="Y105" s="71" t="s">
        <v>151</v>
      </c>
    </row>
    <row r="106" spans="1:25" ht="15.75" customHeight="1" x14ac:dyDescent="0.25">
      <c r="A106" s="17">
        <v>9</v>
      </c>
      <c r="B106" s="70" t="s">
        <v>152</v>
      </c>
      <c r="C106" s="67"/>
      <c r="D106" s="67"/>
      <c r="E106" s="67"/>
      <c r="F106" s="67"/>
      <c r="G106" s="67">
        <v>394000</v>
      </c>
      <c r="H106" s="67">
        <v>187000</v>
      </c>
      <c r="I106" s="67"/>
      <c r="J106" s="67"/>
      <c r="K106" s="67"/>
      <c r="L106" s="67"/>
      <c r="M106" s="67"/>
      <c r="N106" s="67"/>
      <c r="O106" s="67"/>
      <c r="P106" s="67"/>
      <c r="Q106" s="67"/>
      <c r="R106" s="75"/>
      <c r="S106" s="75"/>
      <c r="T106" s="76"/>
      <c r="U106" s="75"/>
      <c r="V106" s="75"/>
      <c r="W106" s="18">
        <f t="shared" si="8"/>
        <v>394000</v>
      </c>
      <c r="X106" s="2">
        <f t="shared" si="7"/>
        <v>187000</v>
      </c>
      <c r="Y106" s="70" t="s">
        <v>152</v>
      </c>
    </row>
    <row r="107" spans="1:25" ht="15.75" customHeight="1" x14ac:dyDescent="0.25">
      <c r="A107" s="17">
        <v>10</v>
      </c>
      <c r="B107" s="71" t="s">
        <v>153</v>
      </c>
      <c r="C107" s="67"/>
      <c r="D107" s="67"/>
      <c r="E107" s="67">
        <v>124646</v>
      </c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75"/>
      <c r="S107" s="75"/>
      <c r="T107" s="76"/>
      <c r="U107" s="75"/>
      <c r="V107" s="75"/>
      <c r="W107" s="18">
        <f t="shared" si="8"/>
        <v>124646</v>
      </c>
      <c r="X107" s="2">
        <f t="shared" si="7"/>
        <v>0</v>
      </c>
      <c r="Y107" s="71" t="s">
        <v>153</v>
      </c>
    </row>
    <row r="108" spans="1:25" ht="15.75" customHeight="1" x14ac:dyDescent="0.25">
      <c r="A108" s="17">
        <v>11</v>
      </c>
      <c r="B108" s="70" t="s">
        <v>149</v>
      </c>
      <c r="C108" s="67"/>
      <c r="D108" s="67"/>
      <c r="E108" s="67"/>
      <c r="F108" s="67"/>
      <c r="G108" s="67">
        <v>48000</v>
      </c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75"/>
      <c r="S108" s="75"/>
      <c r="T108" s="76"/>
      <c r="U108" s="75"/>
      <c r="V108" s="75"/>
      <c r="W108" s="18">
        <f t="shared" si="8"/>
        <v>48000</v>
      </c>
      <c r="X108" s="2">
        <f t="shared" si="7"/>
        <v>0</v>
      </c>
      <c r="Y108" s="70" t="s">
        <v>149</v>
      </c>
    </row>
    <row r="109" spans="1:25" ht="15.75" customHeight="1" x14ac:dyDescent="0.25">
      <c r="A109" s="17">
        <v>12</v>
      </c>
      <c r="B109" s="71" t="s">
        <v>155</v>
      </c>
      <c r="C109" s="67"/>
      <c r="D109" s="67"/>
      <c r="E109" s="67">
        <v>409449</v>
      </c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75"/>
      <c r="S109" s="75"/>
      <c r="T109" s="76"/>
      <c r="U109" s="75"/>
      <c r="V109" s="75"/>
      <c r="W109" s="18">
        <f t="shared" si="8"/>
        <v>409449</v>
      </c>
      <c r="X109" s="2">
        <f t="shared" si="7"/>
        <v>0</v>
      </c>
      <c r="Y109" s="71" t="s">
        <v>155</v>
      </c>
    </row>
    <row r="110" spans="1:25" ht="15.75" customHeight="1" x14ac:dyDescent="0.25">
      <c r="A110" s="17">
        <v>13</v>
      </c>
      <c r="B110" s="87" t="s">
        <v>159</v>
      </c>
      <c r="C110" s="67">
        <v>0</v>
      </c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75"/>
      <c r="S110" s="75"/>
      <c r="T110" s="76"/>
      <c r="U110" s="75"/>
      <c r="V110" s="75"/>
      <c r="W110" s="18">
        <f t="shared" si="8"/>
        <v>0</v>
      </c>
      <c r="X110" s="2">
        <f t="shared" si="7"/>
        <v>0</v>
      </c>
      <c r="Y110" s="70" t="s">
        <v>159</v>
      </c>
    </row>
    <row r="111" spans="1:25" ht="15.75" customHeight="1" x14ac:dyDescent="0.25">
      <c r="A111" s="17">
        <v>14</v>
      </c>
      <c r="B111" s="87" t="s">
        <v>156</v>
      </c>
      <c r="C111" s="67">
        <v>0</v>
      </c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75"/>
      <c r="S111" s="75"/>
      <c r="T111" s="76"/>
      <c r="U111" s="75"/>
      <c r="V111" s="75"/>
      <c r="W111" s="18">
        <f t="shared" si="8"/>
        <v>0</v>
      </c>
      <c r="X111" s="2">
        <f t="shared" si="7"/>
        <v>0</v>
      </c>
      <c r="Y111" s="70" t="s">
        <v>156</v>
      </c>
    </row>
    <row r="112" spans="1:25" ht="15.75" customHeight="1" x14ac:dyDescent="0.25">
      <c r="A112" s="17">
        <v>15</v>
      </c>
      <c r="B112" s="424" t="s">
        <v>158</v>
      </c>
      <c r="C112" s="67"/>
      <c r="D112" s="67"/>
      <c r="E112" s="67">
        <v>0</v>
      </c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75"/>
      <c r="S112" s="75"/>
      <c r="T112" s="76"/>
      <c r="U112" s="75"/>
      <c r="V112" s="75"/>
      <c r="W112" s="18">
        <f t="shared" si="8"/>
        <v>0</v>
      </c>
      <c r="X112" s="2">
        <f t="shared" si="7"/>
        <v>0</v>
      </c>
      <c r="Y112" s="71" t="s">
        <v>158</v>
      </c>
    </row>
    <row r="113" spans="1:26" ht="15.75" customHeight="1" x14ac:dyDescent="0.25">
      <c r="A113" s="17">
        <v>16</v>
      </c>
      <c r="B113" s="92" t="s">
        <v>172</v>
      </c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>
        <v>0</v>
      </c>
      <c r="R113" s="81"/>
      <c r="S113" s="81"/>
      <c r="U113" s="81"/>
      <c r="V113" s="81"/>
      <c r="W113" s="18">
        <f t="shared" si="8"/>
        <v>0</v>
      </c>
      <c r="X113" s="2">
        <f t="shared" si="7"/>
        <v>0</v>
      </c>
      <c r="Y113" s="1" t="s">
        <v>172</v>
      </c>
    </row>
    <row r="114" spans="1:26" ht="30" x14ac:dyDescent="0.25">
      <c r="A114" s="17">
        <v>17</v>
      </c>
      <c r="B114" s="87" t="s">
        <v>157</v>
      </c>
      <c r="C114" s="67">
        <v>0</v>
      </c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75"/>
      <c r="S114" s="75"/>
      <c r="T114" s="76"/>
      <c r="U114" s="75"/>
      <c r="V114" s="75"/>
      <c r="W114" s="18">
        <f t="shared" si="8"/>
        <v>0</v>
      </c>
      <c r="X114" s="2">
        <f t="shared" si="7"/>
        <v>0</v>
      </c>
      <c r="Y114" s="70" t="s">
        <v>157</v>
      </c>
    </row>
    <row r="115" spans="1:26" ht="15.75" customHeight="1" x14ac:dyDescent="0.25">
      <c r="A115" s="17">
        <v>18</v>
      </c>
      <c r="B115" s="92" t="s">
        <v>51</v>
      </c>
      <c r="C115" s="78"/>
      <c r="D115" s="78"/>
      <c r="E115" s="78">
        <v>0</v>
      </c>
      <c r="F115" s="78">
        <v>0</v>
      </c>
      <c r="G115" s="78"/>
      <c r="H115" s="78">
        <v>0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81"/>
      <c r="S115" s="81"/>
      <c r="U115" s="81"/>
      <c r="V115" s="81"/>
      <c r="W115" s="18">
        <f t="shared" si="8"/>
        <v>0</v>
      </c>
      <c r="X115" s="2">
        <f t="shared" si="7"/>
        <v>0</v>
      </c>
      <c r="Y115" s="1" t="s">
        <v>51</v>
      </c>
    </row>
    <row r="116" spans="1:26" x14ac:dyDescent="0.25">
      <c r="A116" s="17">
        <v>19</v>
      </c>
      <c r="B116" s="87" t="s">
        <v>176</v>
      </c>
      <c r="C116" s="67"/>
      <c r="D116" s="67"/>
      <c r="E116" s="67"/>
      <c r="F116" s="67"/>
      <c r="G116" s="67">
        <v>0</v>
      </c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75"/>
      <c r="S116" s="75"/>
      <c r="T116" s="76"/>
      <c r="U116" s="75"/>
      <c r="V116" s="75"/>
      <c r="W116" s="18">
        <f t="shared" si="8"/>
        <v>0</v>
      </c>
      <c r="X116" s="2">
        <f t="shared" si="7"/>
        <v>0</v>
      </c>
      <c r="Y116" s="70" t="s">
        <v>176</v>
      </c>
    </row>
    <row r="117" spans="1:26" ht="15.75" customHeight="1" x14ac:dyDescent="0.25">
      <c r="A117" s="17">
        <v>20</v>
      </c>
      <c r="B117" s="92" t="s">
        <v>175</v>
      </c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81"/>
      <c r="S117" s="81"/>
      <c r="U117" s="81"/>
      <c r="V117" s="81"/>
      <c r="W117" s="18">
        <f t="shared" si="8"/>
        <v>0</v>
      </c>
      <c r="X117" s="2">
        <f t="shared" si="7"/>
        <v>0</v>
      </c>
      <c r="Y117" s="1" t="s">
        <v>175</v>
      </c>
    </row>
    <row r="118" spans="1:26" ht="15.75" customHeight="1" x14ac:dyDescent="0.25">
      <c r="A118" s="17">
        <v>21</v>
      </c>
      <c r="B118" s="92" t="s">
        <v>174</v>
      </c>
      <c r="C118" s="78"/>
      <c r="D118" s="78"/>
      <c r="E118" s="78"/>
      <c r="F118" s="78"/>
      <c r="G118" s="78"/>
      <c r="H118" s="78">
        <v>0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81"/>
      <c r="S118" s="81"/>
      <c r="U118" s="81"/>
      <c r="V118" s="81"/>
      <c r="W118" s="18">
        <f t="shared" si="8"/>
        <v>0</v>
      </c>
      <c r="X118" s="2">
        <f t="shared" si="7"/>
        <v>0</v>
      </c>
      <c r="Y118" s="1" t="s">
        <v>174</v>
      </c>
    </row>
    <row r="119" spans="1:26" ht="15.6" customHeight="1" thickBot="1" x14ac:dyDescent="0.3">
      <c r="A119" s="17">
        <v>22</v>
      </c>
      <c r="B119" s="93" t="s">
        <v>161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75"/>
      <c r="S119" s="75"/>
      <c r="T119" s="76"/>
      <c r="U119" s="75"/>
      <c r="V119" s="75"/>
      <c r="W119" s="18">
        <f t="shared" si="8"/>
        <v>0</v>
      </c>
      <c r="X119" s="2">
        <f t="shared" si="7"/>
        <v>0</v>
      </c>
      <c r="Y119" s="72" t="s">
        <v>161</v>
      </c>
    </row>
    <row r="120" spans="1:26" x14ac:dyDescent="0.25">
      <c r="A120" s="17">
        <v>23</v>
      </c>
      <c r="B120" s="94" t="s">
        <v>162</v>
      </c>
      <c r="C120" s="79"/>
      <c r="D120" s="76"/>
      <c r="E120" s="76"/>
      <c r="F120" s="80"/>
      <c r="G120" s="79"/>
      <c r="H120" s="76"/>
      <c r="I120" s="76"/>
      <c r="J120" s="76"/>
      <c r="K120" s="76"/>
      <c r="L120" s="76"/>
      <c r="M120" s="76"/>
      <c r="N120" s="76"/>
      <c r="O120" s="76"/>
      <c r="P120" s="80"/>
      <c r="Q120" s="76"/>
      <c r="R120" s="83"/>
      <c r="S120" s="83"/>
      <c r="T120" s="76"/>
      <c r="U120" s="83"/>
      <c r="V120" s="83"/>
      <c r="W120" s="18">
        <f t="shared" si="8"/>
        <v>0</v>
      </c>
      <c r="X120" s="2">
        <f t="shared" si="7"/>
        <v>0</v>
      </c>
      <c r="Y120" s="84" t="s">
        <v>162</v>
      </c>
    </row>
    <row r="121" spans="1:26" ht="18.600000000000001" customHeight="1" x14ac:dyDescent="0.25">
      <c r="A121" s="17">
        <v>24</v>
      </c>
      <c r="B121" s="94" t="s">
        <v>163</v>
      </c>
      <c r="C121" s="79"/>
      <c r="D121" s="80"/>
      <c r="E121" s="80"/>
      <c r="F121" s="80"/>
      <c r="G121" s="79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2"/>
      <c r="S121" s="82"/>
      <c r="T121" s="82"/>
      <c r="U121" s="82"/>
      <c r="V121" s="82"/>
      <c r="W121" s="18">
        <f t="shared" si="8"/>
        <v>0</v>
      </c>
      <c r="X121" s="2">
        <f t="shared" si="7"/>
        <v>0</v>
      </c>
      <c r="Y121" s="84" t="s">
        <v>163</v>
      </c>
    </row>
    <row r="122" spans="1:26" x14ac:dyDescent="0.25">
      <c r="A122" s="17">
        <v>25</v>
      </c>
      <c r="B122" s="87" t="s">
        <v>164</v>
      </c>
      <c r="C122" s="79"/>
      <c r="D122" s="80"/>
      <c r="E122" s="79"/>
      <c r="F122" s="80"/>
      <c r="G122" s="79"/>
      <c r="H122" s="80"/>
      <c r="I122" s="79"/>
      <c r="J122" s="76"/>
      <c r="K122" s="76"/>
      <c r="L122" s="79"/>
      <c r="M122" s="79"/>
      <c r="N122" s="76"/>
      <c r="O122" s="79"/>
      <c r="P122" s="80"/>
      <c r="Q122" s="80"/>
      <c r="R122" s="76"/>
      <c r="S122" s="79"/>
      <c r="T122" s="76"/>
      <c r="U122" s="76"/>
      <c r="V122" s="76"/>
      <c r="W122" s="18">
        <f t="shared" si="8"/>
        <v>0</v>
      </c>
      <c r="X122" s="2">
        <f t="shared" si="7"/>
        <v>0</v>
      </c>
      <c r="Y122" s="70" t="s">
        <v>164</v>
      </c>
    </row>
    <row r="123" spans="1:26" ht="18.600000000000001" customHeight="1" x14ac:dyDescent="0.25">
      <c r="A123" s="17">
        <v>26</v>
      </c>
      <c r="B123" s="94" t="s">
        <v>160</v>
      </c>
      <c r="C123" s="79"/>
      <c r="D123" s="80"/>
      <c r="E123" s="80"/>
      <c r="F123" s="80"/>
      <c r="G123" s="79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2"/>
      <c r="S123" s="82"/>
      <c r="T123" s="82"/>
      <c r="U123" s="82"/>
      <c r="V123" s="82"/>
      <c r="W123" s="18">
        <f t="shared" si="8"/>
        <v>0</v>
      </c>
      <c r="X123" s="2">
        <f t="shared" si="7"/>
        <v>0</v>
      </c>
      <c r="Y123" s="84" t="s">
        <v>160</v>
      </c>
    </row>
    <row r="124" spans="1:26" s="43" customFormat="1" ht="16.5" thickBot="1" x14ac:dyDescent="0.3">
      <c r="A124" s="33"/>
      <c r="B124" s="41" t="s">
        <v>52</v>
      </c>
      <c r="C124" s="21">
        <f>SUM(C98:C123)</f>
        <v>1275000</v>
      </c>
      <c r="D124" s="21">
        <f t="shared" ref="D124:V124" si="9">SUM(D98:D123)</f>
        <v>0</v>
      </c>
      <c r="E124" s="21">
        <f t="shared" si="9"/>
        <v>982914</v>
      </c>
      <c r="F124" s="21">
        <f t="shared" si="9"/>
        <v>0</v>
      </c>
      <c r="G124" s="21">
        <f t="shared" si="9"/>
        <v>621000</v>
      </c>
      <c r="H124" s="21">
        <f t="shared" si="9"/>
        <v>187000</v>
      </c>
      <c r="I124" s="21">
        <f t="shared" si="9"/>
        <v>0</v>
      </c>
      <c r="J124" s="21">
        <f t="shared" si="9"/>
        <v>0</v>
      </c>
      <c r="K124" s="21">
        <f t="shared" si="9"/>
        <v>0</v>
      </c>
      <c r="L124" s="21">
        <f t="shared" si="9"/>
        <v>0</v>
      </c>
      <c r="M124" s="21">
        <f t="shared" si="9"/>
        <v>0</v>
      </c>
      <c r="N124" s="21">
        <f t="shared" si="9"/>
        <v>0</v>
      </c>
      <c r="O124" s="21">
        <f t="shared" si="9"/>
        <v>0</v>
      </c>
      <c r="P124" s="21">
        <f t="shared" si="9"/>
        <v>0</v>
      </c>
      <c r="Q124" s="21">
        <f t="shared" si="9"/>
        <v>0</v>
      </c>
      <c r="R124" s="21">
        <f t="shared" si="9"/>
        <v>0</v>
      </c>
      <c r="S124" s="21">
        <f t="shared" si="9"/>
        <v>0</v>
      </c>
      <c r="T124" s="21">
        <f t="shared" si="9"/>
        <v>0</v>
      </c>
      <c r="U124" s="21">
        <f t="shared" si="9"/>
        <v>0</v>
      </c>
      <c r="V124" s="21">
        <f t="shared" si="9"/>
        <v>0</v>
      </c>
      <c r="W124" s="77">
        <f t="shared" si="8"/>
        <v>2878914</v>
      </c>
      <c r="X124" s="370">
        <f>SUM(X98:X123)</f>
        <v>187000</v>
      </c>
      <c r="Y124" s="41" t="s">
        <v>52</v>
      </c>
      <c r="Z124" s="42">
        <f>SUM(W98:W123)</f>
        <v>2878914</v>
      </c>
    </row>
    <row r="125" spans="1:26" s="46" customFormat="1" ht="31.5" x14ac:dyDescent="0.25">
      <c r="A125" s="44"/>
      <c r="B125" s="45" t="s">
        <v>53</v>
      </c>
      <c r="C125" s="46">
        <f t="shared" ref="C125:X125" si="10">C124+C93+C9</f>
        <v>32068520</v>
      </c>
      <c r="D125" s="46">
        <f t="shared" si="10"/>
        <v>33020442.649999999</v>
      </c>
      <c r="E125" s="46">
        <f t="shared" si="10"/>
        <v>84493697</v>
      </c>
      <c r="F125" s="46">
        <f t="shared" si="10"/>
        <v>79105659.289999992</v>
      </c>
      <c r="G125" s="46">
        <f t="shared" si="10"/>
        <v>90850963</v>
      </c>
      <c r="H125" s="46">
        <f t="shared" si="10"/>
        <v>62022864.890000001</v>
      </c>
      <c r="I125" s="46">
        <f t="shared" si="10"/>
        <v>48136802</v>
      </c>
      <c r="J125" s="46">
        <f t="shared" si="10"/>
        <v>50722203.399999999</v>
      </c>
      <c r="K125" s="46">
        <f t="shared" si="10"/>
        <v>640000</v>
      </c>
      <c r="L125" s="46">
        <f t="shared" si="10"/>
        <v>637300</v>
      </c>
      <c r="M125" s="46">
        <f t="shared" si="10"/>
        <v>20000</v>
      </c>
      <c r="N125" s="46">
        <f t="shared" si="10"/>
        <v>175748</v>
      </c>
      <c r="O125" s="46">
        <f t="shared" si="10"/>
        <v>14147670</v>
      </c>
      <c r="P125" s="46">
        <f t="shared" si="10"/>
        <v>9124428.4600000009</v>
      </c>
      <c r="Q125" s="46">
        <f t="shared" si="10"/>
        <v>4247400</v>
      </c>
      <c r="R125" s="46">
        <f t="shared" si="10"/>
        <v>3523924.83</v>
      </c>
      <c r="S125" s="46">
        <f t="shared" si="10"/>
        <v>10337880</v>
      </c>
      <c r="T125" s="46">
        <f t="shared" si="10"/>
        <v>3631435</v>
      </c>
      <c r="U125" s="46">
        <f t="shared" si="10"/>
        <v>5861908</v>
      </c>
      <c r="V125" s="46">
        <f t="shared" si="10"/>
        <v>1511157</v>
      </c>
      <c r="W125" s="46">
        <f t="shared" si="10"/>
        <v>290804840</v>
      </c>
      <c r="X125" s="374">
        <f t="shared" si="10"/>
        <v>243475163.51999998</v>
      </c>
      <c r="Y125" s="45" t="s">
        <v>53</v>
      </c>
    </row>
    <row r="126" spans="1:26" s="46" customFormat="1" ht="20.25" x14ac:dyDescent="0.25">
      <c r="A126" s="44"/>
      <c r="B126" s="45"/>
      <c r="X126" s="47">
        <f>X125-X124</f>
        <v>243288163.51999998</v>
      </c>
      <c r="Y126" s="45"/>
    </row>
    <row r="127" spans="1:26" s="46" customFormat="1" ht="28.5" x14ac:dyDescent="0.25">
      <c r="A127" s="44"/>
      <c r="B127" s="48" t="s">
        <v>79</v>
      </c>
      <c r="C127" s="46">
        <f>($I$125*C11)</f>
        <v>10590096.439999999</v>
      </c>
      <c r="D127" s="46">
        <f t="shared" ref="D127:V127" si="11">($J$125*D11)</f>
        <v>17052804.78308</v>
      </c>
      <c r="E127" s="46">
        <f>($I$125*E11)</f>
        <v>8664624.3599999994</v>
      </c>
      <c r="F127" s="46">
        <f t="shared" si="11"/>
        <v>6390997.6283999998</v>
      </c>
      <c r="G127" s="46">
        <f>($I$125*G11)</f>
        <v>14441040.6</v>
      </c>
      <c r="H127" s="46">
        <f t="shared" si="11"/>
        <v>10093718.476600001</v>
      </c>
      <c r="I127" s="46">
        <f t="shared" si="11"/>
        <v>0</v>
      </c>
      <c r="J127" s="46">
        <f t="shared" si="11"/>
        <v>0</v>
      </c>
      <c r="K127" s="46">
        <f>($I$125*K11)</f>
        <v>962736.04</v>
      </c>
      <c r="L127" s="46">
        <f t="shared" si="11"/>
        <v>507222.03399999999</v>
      </c>
      <c r="M127" s="46">
        <f>($I$125*M11)</f>
        <v>1444104.06</v>
      </c>
      <c r="N127" s="46">
        <f t="shared" si="11"/>
        <v>507222.03399999999</v>
      </c>
      <c r="O127" s="46">
        <f>($I$125*O11)</f>
        <v>6257784.2599999998</v>
      </c>
      <c r="P127" s="46">
        <f t="shared" si="11"/>
        <v>12259556.56178</v>
      </c>
      <c r="Q127" s="46">
        <f>($I$125*Q11)</f>
        <v>3369576.14</v>
      </c>
      <c r="R127" s="46">
        <f t="shared" si="11"/>
        <v>2013671.4749799999</v>
      </c>
      <c r="S127" s="46">
        <f>($I$125*S11)</f>
        <v>1444104.06</v>
      </c>
      <c r="T127" s="46">
        <f t="shared" si="11"/>
        <v>1389788.37316</v>
      </c>
      <c r="U127" s="46">
        <f>($I$125*U11)</f>
        <v>962736.04</v>
      </c>
      <c r="V127" s="46">
        <f t="shared" si="11"/>
        <v>507222.03399999999</v>
      </c>
      <c r="W127" s="46">
        <f>($I$125*W11)</f>
        <v>48136802</v>
      </c>
      <c r="X127" s="2">
        <f>D127+F127+H127+P127+J127+L127+N127+R127+T127+V127</f>
        <v>50722203.399999999</v>
      </c>
      <c r="Y127" s="48" t="s">
        <v>79</v>
      </c>
    </row>
    <row r="128" spans="1:26" s="46" customFormat="1" ht="20.25" x14ac:dyDescent="0.25">
      <c r="A128" s="44"/>
      <c r="B128" s="48"/>
      <c r="T128" s="49"/>
      <c r="X128" s="374"/>
      <c r="Y128" s="48"/>
    </row>
    <row r="129" spans="1:25" s="46" customFormat="1" ht="28.5" x14ac:dyDescent="0.25">
      <c r="A129" s="44"/>
      <c r="B129" s="48" t="s">
        <v>80</v>
      </c>
      <c r="C129" s="46">
        <f>C125+C127</f>
        <v>42658616.439999998</v>
      </c>
      <c r="D129" s="46">
        <f t="shared" ref="D129:V129" si="12">D125+D127</f>
        <v>50073247.433080003</v>
      </c>
      <c r="E129" s="46">
        <f t="shared" si="12"/>
        <v>93158321.359999999</v>
      </c>
      <c r="F129" s="46">
        <f t="shared" si="12"/>
        <v>85496656.91839999</v>
      </c>
      <c r="G129" s="46">
        <f t="shared" si="12"/>
        <v>105292003.59999999</v>
      </c>
      <c r="H129" s="46">
        <f t="shared" si="12"/>
        <v>72116583.366600007</v>
      </c>
      <c r="I129" s="46">
        <f t="shared" si="12"/>
        <v>48136802</v>
      </c>
      <c r="J129" s="46">
        <f t="shared" si="12"/>
        <v>50722203.399999999</v>
      </c>
      <c r="K129" s="46">
        <f t="shared" si="12"/>
        <v>1602736.04</v>
      </c>
      <c r="L129" s="46">
        <f t="shared" si="12"/>
        <v>1144522.034</v>
      </c>
      <c r="M129" s="46">
        <f t="shared" si="12"/>
        <v>1464104.06</v>
      </c>
      <c r="N129" s="46">
        <f t="shared" si="12"/>
        <v>682970.03399999999</v>
      </c>
      <c r="O129" s="46">
        <f t="shared" si="12"/>
        <v>20405454.259999998</v>
      </c>
      <c r="P129" s="46">
        <f t="shared" si="12"/>
        <v>21383985.021779999</v>
      </c>
      <c r="Q129" s="46">
        <f t="shared" si="12"/>
        <v>7616976.1400000006</v>
      </c>
      <c r="R129" s="46">
        <f t="shared" si="12"/>
        <v>5537596.3049800005</v>
      </c>
      <c r="S129" s="46">
        <f t="shared" si="12"/>
        <v>11781984.060000001</v>
      </c>
      <c r="T129" s="46">
        <f t="shared" si="12"/>
        <v>5021223.37316</v>
      </c>
      <c r="U129" s="46">
        <f t="shared" si="12"/>
        <v>6824644.04</v>
      </c>
      <c r="V129" s="46">
        <f t="shared" si="12"/>
        <v>2018379.034</v>
      </c>
      <c r="X129" s="374"/>
      <c r="Y129" s="48"/>
    </row>
    <row r="130" spans="1:25" ht="51.6" customHeight="1" thickBot="1" x14ac:dyDescent="0.3">
      <c r="A130" s="44"/>
      <c r="B130" s="45"/>
      <c r="C130" s="445" t="s">
        <v>117</v>
      </c>
      <c r="D130" s="447"/>
      <c r="E130" s="447" t="s">
        <v>118</v>
      </c>
      <c r="F130" s="447"/>
      <c r="G130" s="447" t="s">
        <v>119</v>
      </c>
      <c r="H130" s="447"/>
      <c r="I130" s="445" t="s">
        <v>121</v>
      </c>
      <c r="J130" s="446"/>
      <c r="K130" s="445" t="s">
        <v>116</v>
      </c>
      <c r="L130" s="446"/>
      <c r="M130" s="445" t="s">
        <v>122</v>
      </c>
      <c r="N130" s="446"/>
      <c r="O130" s="447" t="s">
        <v>120</v>
      </c>
      <c r="P130" s="446"/>
      <c r="Q130" s="445" t="s">
        <v>115</v>
      </c>
      <c r="R130" s="446"/>
      <c r="S130" s="445" t="s">
        <v>114</v>
      </c>
      <c r="T130" s="446"/>
      <c r="U130" s="445" t="s">
        <v>113</v>
      </c>
      <c r="V130" s="446"/>
      <c r="W130" s="445" t="s">
        <v>5</v>
      </c>
      <c r="X130" s="446"/>
      <c r="Y130" s="45"/>
    </row>
    <row r="131" spans="1:25" ht="15.75" customHeight="1" x14ac:dyDescent="0.25">
      <c r="A131" s="50" t="s">
        <v>9</v>
      </c>
      <c r="B131" s="31" t="s">
        <v>54</v>
      </c>
      <c r="C131" s="13" t="s">
        <v>140</v>
      </c>
      <c r="D131" s="13" t="s">
        <v>111</v>
      </c>
      <c r="E131" s="13" t="s">
        <v>140</v>
      </c>
      <c r="F131" s="13" t="s">
        <v>111</v>
      </c>
      <c r="G131" s="13" t="s">
        <v>140</v>
      </c>
      <c r="H131" s="13" t="s">
        <v>111</v>
      </c>
      <c r="I131" s="13" t="s">
        <v>140</v>
      </c>
      <c r="J131" s="13" t="s">
        <v>111</v>
      </c>
      <c r="K131" s="13" t="s">
        <v>140</v>
      </c>
      <c r="L131" s="13" t="s">
        <v>111</v>
      </c>
      <c r="M131" s="13" t="s">
        <v>140</v>
      </c>
      <c r="N131" s="13" t="s">
        <v>111</v>
      </c>
      <c r="O131" s="13" t="s">
        <v>140</v>
      </c>
      <c r="P131" s="13" t="s">
        <v>111</v>
      </c>
      <c r="Q131" s="13" t="s">
        <v>140</v>
      </c>
      <c r="R131" s="14" t="s">
        <v>111</v>
      </c>
      <c r="S131" s="14" t="s">
        <v>140</v>
      </c>
      <c r="T131" s="14" t="s">
        <v>111</v>
      </c>
      <c r="U131" s="14" t="s">
        <v>140</v>
      </c>
      <c r="V131" s="14" t="s">
        <v>111</v>
      </c>
      <c r="W131" s="13" t="s">
        <v>140</v>
      </c>
      <c r="X131" s="369" t="s">
        <v>111</v>
      </c>
      <c r="Y131" s="31" t="s">
        <v>54</v>
      </c>
    </row>
    <row r="132" spans="1:25" ht="15" x14ac:dyDescent="0.25">
      <c r="A132" s="17">
        <v>110</v>
      </c>
      <c r="B132" s="51" t="s">
        <v>61</v>
      </c>
      <c r="D132" s="2"/>
      <c r="E132" s="10">
        <v>233241</v>
      </c>
      <c r="F132" s="2">
        <f>15665+15345+18861+15984+18222+14706+6394+10550+12694+11200+15924+17770</f>
        <v>173315</v>
      </c>
      <c r="G132" s="2"/>
      <c r="H132" s="2"/>
      <c r="I132" s="2"/>
      <c r="J132" s="2"/>
      <c r="L132" s="2"/>
      <c r="N132" s="2"/>
      <c r="O132" s="2"/>
      <c r="P132" s="2"/>
      <c r="Q132" s="2"/>
      <c r="R132" s="3"/>
      <c r="T132" s="3"/>
      <c r="U132" s="3"/>
      <c r="V132" s="3"/>
      <c r="W132" s="18">
        <f>C132+E132+G132+O132+I132+K132+M132+Q132+U132+S132</f>
        <v>233241</v>
      </c>
      <c r="X132" s="2">
        <f>D132+F132+H132+P132+J132+L132+N132+R132+T132+V132</f>
        <v>173315</v>
      </c>
      <c r="Y132" s="51" t="s">
        <v>61</v>
      </c>
    </row>
    <row r="133" spans="1:25" ht="15" x14ac:dyDescent="0.25">
      <c r="A133" s="17">
        <v>111</v>
      </c>
      <c r="B133" s="51" t="s">
        <v>62</v>
      </c>
      <c r="D133" s="2"/>
      <c r="E133" s="10">
        <v>169724</v>
      </c>
      <c r="F133" s="2">
        <f>6405+6274+7712+6535+7450+6013+2614+4313+7320+6405+8235+8888</f>
        <v>78164</v>
      </c>
      <c r="G133" s="2"/>
      <c r="H133" s="2"/>
      <c r="I133" s="2"/>
      <c r="J133" s="2"/>
      <c r="L133" s="2"/>
      <c r="N133" s="2"/>
      <c r="O133" s="2"/>
      <c r="P133" s="2"/>
      <c r="Q133" s="2"/>
      <c r="R133" s="3"/>
      <c r="T133" s="3"/>
      <c r="U133" s="3"/>
      <c r="V133" s="3"/>
      <c r="W133" s="18">
        <f t="shared" ref="W133:W163" si="13">C133+E133+G133+O133+I133+K133+M133+Q133+U133+S133</f>
        <v>169724</v>
      </c>
      <c r="X133" s="2">
        <f t="shared" ref="X133:X163" si="14">D133+F133+H133+P133+J133+L133+N133+R133+T133+V133</f>
        <v>78164</v>
      </c>
      <c r="Y133" s="51" t="s">
        <v>62</v>
      </c>
    </row>
    <row r="134" spans="1:25" ht="15" x14ac:dyDescent="0.25">
      <c r="A134" s="17">
        <v>112</v>
      </c>
      <c r="B134" s="51" t="s">
        <v>112</v>
      </c>
      <c r="D134" s="2"/>
      <c r="E134" s="10">
        <v>101941</v>
      </c>
      <c r="F134" s="2">
        <f>4054+1488+2976</f>
        <v>8518</v>
      </c>
      <c r="G134" s="2"/>
      <c r="H134" s="2"/>
      <c r="I134" s="2"/>
      <c r="J134" s="2"/>
      <c r="L134" s="2"/>
      <c r="N134" s="2"/>
      <c r="O134" s="2"/>
      <c r="P134" s="2"/>
      <c r="Q134" s="2"/>
      <c r="R134" s="3"/>
      <c r="T134" s="3"/>
      <c r="U134" s="3"/>
      <c r="V134" s="3"/>
      <c r="W134" s="18">
        <f t="shared" si="13"/>
        <v>101941</v>
      </c>
      <c r="X134" s="2">
        <f t="shared" si="14"/>
        <v>8518</v>
      </c>
      <c r="Y134" s="51" t="s">
        <v>112</v>
      </c>
    </row>
    <row r="135" spans="1:25" x14ac:dyDescent="0.25">
      <c r="A135" s="17">
        <v>113</v>
      </c>
      <c r="B135" s="52" t="s">
        <v>68</v>
      </c>
      <c r="D135" s="2"/>
      <c r="F135" s="2"/>
      <c r="G135" s="2"/>
      <c r="H135" s="2"/>
      <c r="I135" s="2"/>
      <c r="J135" s="2"/>
      <c r="L135" s="2"/>
      <c r="N135" s="2">
        <f>25000+25000+50000</f>
        <v>100000</v>
      </c>
      <c r="O135" s="2"/>
      <c r="P135" s="2"/>
      <c r="Q135" s="2"/>
      <c r="R135" s="3"/>
      <c r="T135" s="3"/>
      <c r="U135" s="3"/>
      <c r="V135" s="3"/>
      <c r="W135" s="18">
        <f t="shared" si="13"/>
        <v>0</v>
      </c>
      <c r="X135" s="2">
        <f t="shared" si="14"/>
        <v>100000</v>
      </c>
      <c r="Y135" s="52" t="s">
        <v>68</v>
      </c>
    </row>
    <row r="136" spans="1:25" ht="15" x14ac:dyDescent="0.25">
      <c r="A136" s="17">
        <v>114</v>
      </c>
      <c r="B136" s="51" t="s">
        <v>63</v>
      </c>
      <c r="D136" s="2"/>
      <c r="E136" s="10">
        <v>0</v>
      </c>
      <c r="F136" s="2">
        <f>787+787+787+787+787+0</f>
        <v>3935</v>
      </c>
      <c r="G136" s="2"/>
      <c r="H136" s="2"/>
      <c r="I136" s="2"/>
      <c r="J136" s="2"/>
      <c r="L136" s="2"/>
      <c r="N136" s="2"/>
      <c r="O136" s="2"/>
      <c r="P136" s="2"/>
      <c r="Q136" s="2"/>
      <c r="R136" s="3"/>
      <c r="T136" s="3"/>
      <c r="U136" s="3"/>
      <c r="V136" s="3"/>
      <c r="W136" s="18">
        <f t="shared" si="13"/>
        <v>0</v>
      </c>
      <c r="X136" s="2">
        <f t="shared" si="14"/>
        <v>3935</v>
      </c>
      <c r="Y136" s="51" t="s">
        <v>63</v>
      </c>
    </row>
    <row r="137" spans="1:25" ht="30" x14ac:dyDescent="0.25">
      <c r="A137" s="17">
        <v>115</v>
      </c>
      <c r="B137" s="51" t="s">
        <v>104</v>
      </c>
      <c r="D137" s="2"/>
      <c r="E137" s="10">
        <v>15361867</v>
      </c>
      <c r="F137" s="2">
        <f>1504177+1253833+1232567+1102248+1329945+837817+1655394+1329244+1464594+1230833</f>
        <v>12940652</v>
      </c>
      <c r="G137" s="2"/>
      <c r="H137" s="2"/>
      <c r="I137" s="2"/>
      <c r="J137" s="2"/>
      <c r="L137" s="2"/>
      <c r="N137" s="2"/>
      <c r="O137" s="2"/>
      <c r="P137" s="2"/>
      <c r="Q137" s="2"/>
      <c r="R137" s="3"/>
      <c r="T137" s="3"/>
      <c r="U137" s="3"/>
      <c r="V137" s="3"/>
      <c r="W137" s="18">
        <f t="shared" si="13"/>
        <v>15361867</v>
      </c>
      <c r="X137" s="2">
        <f t="shared" si="14"/>
        <v>12940652</v>
      </c>
      <c r="Y137" s="51" t="s">
        <v>104</v>
      </c>
    </row>
    <row r="138" spans="1:25" ht="30" x14ac:dyDescent="0.25">
      <c r="A138" s="17">
        <v>116</v>
      </c>
      <c r="B138" s="51" t="s">
        <v>134</v>
      </c>
      <c r="D138" s="2"/>
      <c r="E138" s="10">
        <v>15361867</v>
      </c>
      <c r="F138" s="2">
        <f>1471023+1311578+1337516+1126085+1397249+507674+1259579+400788+1397858+1552213+1214434</f>
        <v>12975997</v>
      </c>
      <c r="G138" s="2"/>
      <c r="H138" s="2"/>
      <c r="I138" s="2"/>
      <c r="J138" s="2"/>
      <c r="L138" s="2"/>
      <c r="N138" s="2"/>
      <c r="O138" s="2"/>
      <c r="P138" s="2"/>
      <c r="Q138" s="2"/>
      <c r="R138" s="3"/>
      <c r="T138" s="3"/>
      <c r="U138" s="3"/>
      <c r="V138" s="3"/>
      <c r="W138" s="18">
        <f t="shared" si="13"/>
        <v>15361867</v>
      </c>
      <c r="X138" s="2">
        <f t="shared" si="14"/>
        <v>12975997</v>
      </c>
      <c r="Y138" s="51" t="s">
        <v>134</v>
      </c>
    </row>
    <row r="139" spans="1:25" ht="15" x14ac:dyDescent="0.25">
      <c r="A139" s="17">
        <v>117</v>
      </c>
      <c r="B139" s="51" t="s">
        <v>56</v>
      </c>
      <c r="D139" s="2"/>
      <c r="E139" s="10">
        <v>10109986</v>
      </c>
      <c r="F139" s="2">
        <f>948937+918835+1028764+925133+1130102+713134+222787+150992+1043275+902283+1065330+763897</f>
        <v>9813469</v>
      </c>
      <c r="G139" s="2"/>
      <c r="H139" s="2"/>
      <c r="I139" s="2"/>
      <c r="J139" s="2"/>
      <c r="L139" s="2"/>
      <c r="N139" s="2"/>
      <c r="O139" s="2"/>
      <c r="P139" s="2"/>
      <c r="Q139" s="2"/>
      <c r="R139" s="3"/>
      <c r="T139" s="3"/>
      <c r="U139" s="3"/>
      <c r="V139" s="3"/>
      <c r="W139" s="18">
        <f t="shared" si="13"/>
        <v>10109986</v>
      </c>
      <c r="X139" s="2">
        <f t="shared" si="14"/>
        <v>9813469</v>
      </c>
      <c r="Y139" s="51" t="s">
        <v>56</v>
      </c>
    </row>
    <row r="140" spans="1:25" ht="15" x14ac:dyDescent="0.25">
      <c r="A140" s="17">
        <v>118</v>
      </c>
      <c r="B140" s="51" t="s">
        <v>74</v>
      </c>
      <c r="D140" s="2"/>
      <c r="E140" s="10">
        <v>6203002</v>
      </c>
      <c r="F140" s="2">
        <f>630553+626874+598500+501998+620042+209223+679585+526087+605961+475665</f>
        <v>5474488</v>
      </c>
      <c r="G140" s="2"/>
      <c r="H140" s="2"/>
      <c r="I140" s="2"/>
      <c r="J140" s="2"/>
      <c r="L140" s="2"/>
      <c r="N140" s="2"/>
      <c r="O140" s="2"/>
      <c r="P140" s="2"/>
      <c r="Q140" s="2"/>
      <c r="R140" s="3"/>
      <c r="T140" s="3"/>
      <c r="U140" s="3"/>
      <c r="V140" s="3"/>
      <c r="W140" s="18">
        <f t="shared" si="13"/>
        <v>6203002</v>
      </c>
      <c r="X140" s="2">
        <f t="shared" si="14"/>
        <v>5474488</v>
      </c>
      <c r="Y140" s="51" t="s">
        <v>74</v>
      </c>
    </row>
    <row r="141" spans="1:25" ht="15" x14ac:dyDescent="0.25">
      <c r="A141" s="17">
        <v>119</v>
      </c>
      <c r="B141" s="51" t="s">
        <v>58</v>
      </c>
      <c r="D141" s="2"/>
      <c r="E141" s="10">
        <v>24818929</v>
      </c>
      <c r="F141" s="2">
        <f>2263755+2263755+2263755+2263755+2263755+2263755+6791266+2263755+2263755+2263755</f>
        <v>27165061</v>
      </c>
      <c r="G141" s="2"/>
      <c r="H141" s="2"/>
      <c r="I141" s="2"/>
      <c r="J141" s="2"/>
      <c r="L141" s="2"/>
      <c r="N141" s="2"/>
      <c r="O141" s="2"/>
      <c r="P141" s="2"/>
      <c r="Q141" s="2"/>
      <c r="R141" s="3"/>
      <c r="T141" s="3"/>
      <c r="U141" s="3"/>
      <c r="V141" s="3"/>
      <c r="W141" s="18">
        <f t="shared" si="13"/>
        <v>24818929</v>
      </c>
      <c r="X141" s="2">
        <f t="shared" si="14"/>
        <v>27165061</v>
      </c>
      <c r="Y141" s="51" t="s">
        <v>58</v>
      </c>
    </row>
    <row r="142" spans="1:25" ht="15" x14ac:dyDescent="0.25">
      <c r="A142" s="17">
        <v>120</v>
      </c>
      <c r="B142" s="51" t="s">
        <v>57</v>
      </c>
      <c r="D142" s="2"/>
      <c r="E142" s="10">
        <v>11646696</v>
      </c>
      <c r="F142" s="2">
        <f>999817+999817+999817+999817+999817+999817+999817+999817+999817+999817+999817+999817</f>
        <v>11997804</v>
      </c>
      <c r="G142" s="2"/>
      <c r="H142" s="2"/>
      <c r="I142" s="2"/>
      <c r="J142" s="2"/>
      <c r="L142" s="2"/>
      <c r="N142" s="2"/>
      <c r="O142" s="2"/>
      <c r="P142" s="2"/>
      <c r="Q142" s="2"/>
      <c r="R142" s="3"/>
      <c r="T142" s="3"/>
      <c r="U142" s="3"/>
      <c r="V142" s="3"/>
      <c r="W142" s="18">
        <f t="shared" si="13"/>
        <v>11646696</v>
      </c>
      <c r="X142" s="2">
        <f t="shared" si="14"/>
        <v>11997804</v>
      </c>
      <c r="Y142" s="51" t="s">
        <v>57</v>
      </c>
    </row>
    <row r="143" spans="1:25" ht="15" x14ac:dyDescent="0.25">
      <c r="A143" s="17">
        <v>121</v>
      </c>
      <c r="B143" s="51" t="s">
        <v>126</v>
      </c>
      <c r="D143" s="2">
        <f>12000</f>
        <v>12000</v>
      </c>
      <c r="F143" s="2"/>
      <c r="G143" s="2"/>
      <c r="H143" s="2"/>
      <c r="I143" s="2"/>
      <c r="J143" s="2"/>
      <c r="L143" s="2"/>
      <c r="N143" s="2"/>
      <c r="O143" s="2"/>
      <c r="P143" s="2"/>
      <c r="Q143" s="2"/>
      <c r="R143" s="3"/>
      <c r="T143" s="3"/>
      <c r="U143" s="3"/>
      <c r="V143" s="3"/>
      <c r="W143" s="18">
        <f t="shared" si="13"/>
        <v>0</v>
      </c>
      <c r="X143" s="2">
        <f t="shared" si="14"/>
        <v>12000</v>
      </c>
      <c r="Y143" s="51" t="s">
        <v>126</v>
      </c>
    </row>
    <row r="144" spans="1:25" ht="15" x14ac:dyDescent="0.25">
      <c r="A144" s="17">
        <v>122</v>
      </c>
      <c r="B144" s="51" t="s">
        <v>86</v>
      </c>
      <c r="D144" s="2"/>
      <c r="F144" s="2"/>
      <c r="G144" s="2"/>
      <c r="H144" s="2"/>
      <c r="I144" s="2"/>
      <c r="J144" s="2"/>
      <c r="L144" s="2"/>
      <c r="M144" s="10">
        <v>275000</v>
      </c>
      <c r="N144" s="2">
        <f>78000+55000+130000</f>
        <v>263000</v>
      </c>
      <c r="O144" s="2"/>
      <c r="P144" s="2"/>
      <c r="Q144" s="2"/>
      <c r="R144" s="3"/>
      <c r="T144" s="3"/>
      <c r="U144" s="3"/>
      <c r="V144" s="3"/>
      <c r="W144" s="18">
        <f t="shared" si="13"/>
        <v>275000</v>
      </c>
      <c r="X144" s="2">
        <f t="shared" si="14"/>
        <v>263000</v>
      </c>
      <c r="Y144" s="51" t="s">
        <v>86</v>
      </c>
    </row>
    <row r="145" spans="1:25" ht="15" x14ac:dyDescent="0.25">
      <c r="A145" s="17">
        <v>123</v>
      </c>
      <c r="B145" s="51" t="s">
        <v>125</v>
      </c>
      <c r="D145" s="2"/>
      <c r="F145" s="2"/>
      <c r="G145" s="2"/>
      <c r="H145" s="2"/>
      <c r="I145" s="2"/>
      <c r="J145" s="2"/>
      <c r="L145" s="2"/>
      <c r="M145" s="10">
        <v>5000</v>
      </c>
      <c r="N145" s="2">
        <f>3307</f>
        <v>3307</v>
      </c>
      <c r="O145" s="2"/>
      <c r="P145" s="2"/>
      <c r="Q145" s="2"/>
      <c r="R145" s="3"/>
      <c r="T145" s="3"/>
      <c r="U145" s="3"/>
      <c r="V145" s="3"/>
      <c r="W145" s="18">
        <f t="shared" si="13"/>
        <v>5000</v>
      </c>
      <c r="X145" s="2">
        <f t="shared" si="14"/>
        <v>3307</v>
      </c>
      <c r="Y145" s="51" t="s">
        <v>125</v>
      </c>
    </row>
    <row r="146" spans="1:25" ht="30" x14ac:dyDescent="0.25">
      <c r="A146" s="17">
        <v>124</v>
      </c>
      <c r="B146" s="53" t="s">
        <v>133</v>
      </c>
      <c r="D146" s="2"/>
      <c r="F146" s="2"/>
      <c r="G146" s="2"/>
      <c r="H146" s="2"/>
      <c r="I146" s="2"/>
      <c r="J146" s="2"/>
      <c r="L146" s="2"/>
      <c r="M146" s="10">
        <v>1000000</v>
      </c>
      <c r="N146" s="2">
        <f>2079+2362+386336+94185+19685+17820+7874+2079+7874+368599+15748+9449</f>
        <v>934090</v>
      </c>
      <c r="O146" s="2"/>
      <c r="P146" s="2"/>
      <c r="Q146" s="2"/>
      <c r="R146" s="3"/>
      <c r="T146" s="3"/>
      <c r="U146" s="3"/>
      <c r="V146" s="3"/>
      <c r="W146" s="18">
        <f t="shared" si="13"/>
        <v>1000000</v>
      </c>
      <c r="X146" s="2">
        <f t="shared" si="14"/>
        <v>934090</v>
      </c>
      <c r="Y146" s="53" t="s">
        <v>133</v>
      </c>
    </row>
    <row r="147" spans="1:25" ht="15" x14ac:dyDescent="0.25">
      <c r="A147" s="17">
        <v>125</v>
      </c>
      <c r="B147" s="53" t="s">
        <v>132</v>
      </c>
      <c r="D147" s="2"/>
      <c r="F147" s="2"/>
      <c r="G147" s="2"/>
      <c r="H147" s="2"/>
      <c r="I147" s="2"/>
      <c r="J147" s="2"/>
      <c r="L147" s="2"/>
      <c r="M147" s="10">
        <v>0</v>
      </c>
      <c r="N147" s="2">
        <f>170000</f>
        <v>170000</v>
      </c>
      <c r="O147" s="2"/>
      <c r="P147" s="2"/>
      <c r="Q147" s="2"/>
      <c r="R147" s="3"/>
      <c r="T147" s="3"/>
      <c r="U147" s="3"/>
      <c r="V147" s="3"/>
      <c r="W147" s="18">
        <f t="shared" si="13"/>
        <v>0</v>
      </c>
      <c r="X147" s="2">
        <f t="shared" si="14"/>
        <v>170000</v>
      </c>
      <c r="Y147" s="53" t="s">
        <v>132</v>
      </c>
    </row>
    <row r="148" spans="1:25" x14ac:dyDescent="0.25">
      <c r="A148" s="17">
        <v>126</v>
      </c>
      <c r="B148" s="1" t="s">
        <v>76</v>
      </c>
      <c r="C148" s="10">
        <v>10650000</v>
      </c>
      <c r="D148" s="2">
        <f>844080+2250880+1069168+956624+1519344+1012896+1181712+1125440</f>
        <v>9960144</v>
      </c>
      <c r="F148" s="2"/>
      <c r="G148" s="2"/>
      <c r="H148" s="2"/>
      <c r="I148" s="2"/>
      <c r="J148" s="2"/>
      <c r="L148" s="2"/>
      <c r="N148" s="2"/>
      <c r="O148" s="2"/>
      <c r="P148" s="2"/>
      <c r="Q148" s="2"/>
      <c r="R148" s="3"/>
      <c r="T148" s="3"/>
      <c r="U148" s="3"/>
      <c r="V148" s="3"/>
      <c r="W148" s="18">
        <f t="shared" si="13"/>
        <v>10650000</v>
      </c>
      <c r="X148" s="2">
        <f t="shared" si="14"/>
        <v>9960144</v>
      </c>
      <c r="Y148" s="1" t="s">
        <v>76</v>
      </c>
    </row>
    <row r="149" spans="1:25" x14ac:dyDescent="0.25">
      <c r="A149" s="17">
        <v>127</v>
      </c>
      <c r="B149" s="1" t="s">
        <v>65</v>
      </c>
      <c r="D149" s="2"/>
      <c r="F149" s="2"/>
      <c r="G149" s="2"/>
      <c r="H149" s="2"/>
      <c r="I149" s="2"/>
      <c r="J149" s="2"/>
      <c r="K149" s="10">
        <v>700000</v>
      </c>
      <c r="L149" s="2">
        <f>30312+14646+16535+8054+25985+26260+13546+7087+23779+16110+9449+30316+14606+21969+16299+12815+35040+16850+20504+24532+22638+9449+7087+4331+25984+18268+5858+14173+57008+31122+32638+12083+16536+8055</f>
        <v>649924</v>
      </c>
      <c r="N149" s="2"/>
      <c r="O149" s="2"/>
      <c r="P149" s="2"/>
      <c r="Q149" s="2"/>
      <c r="R149" s="3"/>
      <c r="T149" s="3"/>
      <c r="U149" s="3"/>
      <c r="V149" s="3"/>
      <c r="W149" s="18">
        <f t="shared" si="13"/>
        <v>700000</v>
      </c>
      <c r="X149" s="2">
        <f t="shared" si="14"/>
        <v>649924</v>
      </c>
      <c r="Y149" s="1" t="s">
        <v>65</v>
      </c>
    </row>
    <row r="150" spans="1:25" ht="31.5" x14ac:dyDescent="0.25">
      <c r="A150" s="17">
        <v>128</v>
      </c>
      <c r="B150" s="1" t="s">
        <v>105</v>
      </c>
      <c r="C150" s="10">
        <v>7200000</v>
      </c>
      <c r="D150" s="2">
        <f>69772+879991+279252+38375+749871+285419+2362+36735+449509+269355-156804+1181+36735+339558+258840-52268+132465+257213+239769+41607+161646+270072-156804+41607+108957+224559+4724+164649+105278+41607+10944+1181+41607+98569+172666+1181+41607+110558+230465+1181+1028+169732+255250+1181-17652+40770+279760+1181</f>
        <v>6566441</v>
      </c>
      <c r="F150" s="2"/>
      <c r="G150" s="2"/>
      <c r="H150" s="2"/>
      <c r="I150" s="2"/>
      <c r="J150" s="2"/>
      <c r="L150" s="2"/>
      <c r="N150" s="2"/>
      <c r="O150" s="2"/>
      <c r="P150" s="2"/>
      <c r="Q150" s="2"/>
      <c r="R150" s="3"/>
      <c r="T150" s="3"/>
      <c r="U150" s="3"/>
      <c r="V150" s="3"/>
      <c r="W150" s="18">
        <f t="shared" si="13"/>
        <v>7200000</v>
      </c>
      <c r="X150" s="2">
        <f t="shared" si="14"/>
        <v>6566441</v>
      </c>
      <c r="Y150" s="1" t="s">
        <v>105</v>
      </c>
    </row>
    <row r="151" spans="1:25" x14ac:dyDescent="0.25">
      <c r="A151" s="17">
        <v>129</v>
      </c>
      <c r="B151" s="1" t="s">
        <v>69</v>
      </c>
      <c r="D151" s="2"/>
      <c r="F151" s="2"/>
      <c r="G151" s="2"/>
      <c r="H151" s="2">
        <v>0</v>
      </c>
      <c r="I151" s="2">
        <v>1000</v>
      </c>
      <c r="J151" s="2">
        <v>1000</v>
      </c>
      <c r="L151" s="2"/>
      <c r="N151" s="2"/>
      <c r="O151" s="2"/>
      <c r="P151" s="2"/>
      <c r="Q151" s="2"/>
      <c r="R151" s="3"/>
      <c r="T151" s="3"/>
      <c r="U151" s="3"/>
      <c r="V151" s="3"/>
      <c r="W151" s="18">
        <f t="shared" si="13"/>
        <v>1000</v>
      </c>
      <c r="X151" s="2">
        <f t="shared" si="14"/>
        <v>1000</v>
      </c>
      <c r="Y151" s="1" t="s">
        <v>69</v>
      </c>
    </row>
    <row r="152" spans="1:25" ht="15" x14ac:dyDescent="0.25">
      <c r="A152" s="17">
        <v>130</v>
      </c>
      <c r="B152" s="51" t="s">
        <v>88</v>
      </c>
      <c r="D152" s="2"/>
      <c r="F152" s="2"/>
      <c r="G152" s="2"/>
      <c r="H152" s="2"/>
      <c r="I152" s="2"/>
      <c r="J152" s="2"/>
      <c r="L152" s="2"/>
      <c r="N152" s="2"/>
      <c r="O152" s="2"/>
      <c r="P152" s="2"/>
      <c r="Q152" s="2"/>
      <c r="R152" s="3"/>
      <c r="S152" s="10">
        <v>2682200</v>
      </c>
      <c r="T152" s="3">
        <f>152006+10461+25596+15488+128490+123501+93130+71476+65520+119796+282820+146429</f>
        <v>1234713</v>
      </c>
      <c r="U152" s="3"/>
      <c r="V152" s="3"/>
      <c r="W152" s="18">
        <f t="shared" si="13"/>
        <v>2682200</v>
      </c>
      <c r="X152" s="2">
        <f t="shared" si="14"/>
        <v>1234713</v>
      </c>
      <c r="Y152" s="51" t="s">
        <v>88</v>
      </c>
    </row>
    <row r="153" spans="1:25" ht="15" x14ac:dyDescent="0.25">
      <c r="A153" s="17">
        <v>131</v>
      </c>
      <c r="B153" s="51" t="s">
        <v>127</v>
      </c>
      <c r="D153" s="2"/>
      <c r="F153" s="2"/>
      <c r="G153" s="2"/>
      <c r="H153" s="2"/>
      <c r="I153" s="2"/>
      <c r="J153" s="2"/>
      <c r="L153" s="2"/>
      <c r="N153" s="2">
        <f>33047</f>
        <v>33047</v>
      </c>
      <c r="O153" s="2"/>
      <c r="P153" s="2"/>
      <c r="Q153" s="2"/>
      <c r="R153" s="3"/>
      <c r="T153" s="3"/>
      <c r="U153" s="3"/>
      <c r="V153" s="3"/>
      <c r="W153" s="18">
        <f t="shared" si="13"/>
        <v>0</v>
      </c>
      <c r="X153" s="2">
        <f t="shared" si="14"/>
        <v>33047</v>
      </c>
      <c r="Y153" s="51" t="s">
        <v>127</v>
      </c>
    </row>
    <row r="154" spans="1:25" ht="15" x14ac:dyDescent="0.25">
      <c r="A154" s="17">
        <v>132</v>
      </c>
      <c r="B154" s="51" t="s">
        <v>59</v>
      </c>
      <c r="D154" s="2"/>
      <c r="E154" s="10">
        <v>1086298</v>
      </c>
      <c r="F154" s="2">
        <f>869811+97465</f>
        <v>967276</v>
      </c>
      <c r="G154" s="2"/>
      <c r="H154" s="2"/>
      <c r="I154" s="2"/>
      <c r="J154" s="2"/>
      <c r="L154" s="2"/>
      <c r="N154" s="2"/>
      <c r="O154" s="2"/>
      <c r="P154" s="2"/>
      <c r="Q154" s="2"/>
      <c r="R154" s="3"/>
      <c r="T154" s="3"/>
      <c r="U154" s="3"/>
      <c r="V154" s="3"/>
      <c r="W154" s="18">
        <f t="shared" si="13"/>
        <v>1086298</v>
      </c>
      <c r="X154" s="2">
        <f t="shared" si="14"/>
        <v>967276</v>
      </c>
      <c r="Y154" s="51" t="s">
        <v>59</v>
      </c>
    </row>
    <row r="155" spans="1:25" ht="15" x14ac:dyDescent="0.25">
      <c r="A155" s="17">
        <v>133</v>
      </c>
      <c r="B155" s="51" t="s">
        <v>131</v>
      </c>
      <c r="D155" s="2"/>
      <c r="F155" s="2"/>
      <c r="G155" s="2"/>
      <c r="H155" s="2"/>
      <c r="I155" s="2"/>
      <c r="J155" s="2"/>
      <c r="L155" s="2"/>
      <c r="M155" s="10">
        <v>393700</v>
      </c>
      <c r="N155" s="2">
        <f>786500</f>
        <v>786500</v>
      </c>
      <c r="O155" s="2"/>
      <c r="P155" s="2"/>
      <c r="Q155" s="2"/>
      <c r="R155" s="3"/>
      <c r="T155" s="3"/>
      <c r="U155" s="3"/>
      <c r="V155" s="3"/>
      <c r="W155" s="18">
        <f t="shared" si="13"/>
        <v>393700</v>
      </c>
      <c r="X155" s="2">
        <f t="shared" si="14"/>
        <v>786500</v>
      </c>
      <c r="Y155" s="51" t="s">
        <v>131</v>
      </c>
    </row>
    <row r="156" spans="1:25" x14ac:dyDescent="0.25">
      <c r="A156" s="17">
        <v>134</v>
      </c>
      <c r="B156" s="52" t="s">
        <v>55</v>
      </c>
      <c r="C156" s="10">
        <v>23500000</v>
      </c>
      <c r="D156" s="2">
        <f>199000+285256+1117528+486116+1218108+23750+419356+1345317+30000+327371+2086391+19500+408382+1909499+24000+551129+760000+18000+8000+544099+258506+1708641+363252+2627287+15000+769992+2359306+24000+528248</f>
        <v>20435034</v>
      </c>
      <c r="F156" s="2">
        <f>7350+4600</f>
        <v>11950</v>
      </c>
      <c r="G156" s="2"/>
      <c r="H156" s="2"/>
      <c r="I156" s="2"/>
      <c r="J156" s="2">
        <v>0</v>
      </c>
      <c r="L156" s="2"/>
      <c r="N156" s="2"/>
      <c r="O156" s="10">
        <v>20406000</v>
      </c>
      <c r="P156" s="2">
        <f>1284034+953389+1207381+1721203+1507759+309654+709624+1034330+1378390+772015</f>
        <v>10877779</v>
      </c>
      <c r="Q156" s="2"/>
      <c r="R156" s="3"/>
      <c r="T156" s="3"/>
      <c r="U156" s="3"/>
      <c r="V156" s="3"/>
      <c r="W156" s="18">
        <f t="shared" si="13"/>
        <v>43906000</v>
      </c>
      <c r="X156" s="2">
        <f t="shared" si="14"/>
        <v>31324763</v>
      </c>
      <c r="Y156" s="52" t="s">
        <v>55</v>
      </c>
    </row>
    <row r="157" spans="1:25" x14ac:dyDescent="0.25">
      <c r="A157" s="17">
        <v>135</v>
      </c>
      <c r="B157" s="52" t="s">
        <v>130</v>
      </c>
      <c r="D157" s="2"/>
      <c r="F157" s="2"/>
      <c r="G157" s="2"/>
      <c r="H157" s="2"/>
      <c r="I157" s="2"/>
      <c r="J157" s="2"/>
      <c r="L157" s="2"/>
      <c r="M157" s="10">
        <v>65000</v>
      </c>
      <c r="N157" s="2">
        <f>65000</f>
        <v>65000</v>
      </c>
      <c r="O157" s="2"/>
      <c r="P157" s="2"/>
      <c r="Q157" s="2"/>
      <c r="R157" s="3"/>
      <c r="T157" s="3"/>
      <c r="U157" s="3"/>
      <c r="V157" s="3"/>
      <c r="W157" s="18">
        <f t="shared" si="13"/>
        <v>65000</v>
      </c>
      <c r="X157" s="2">
        <f t="shared" si="14"/>
        <v>65000</v>
      </c>
      <c r="Y157" s="52" t="s">
        <v>130</v>
      </c>
    </row>
    <row r="158" spans="1:25" ht="15" x14ac:dyDescent="0.25">
      <c r="A158" s="17">
        <v>136</v>
      </c>
      <c r="B158" s="51" t="s">
        <v>85</v>
      </c>
      <c r="D158" s="2"/>
      <c r="F158" s="2"/>
      <c r="G158" s="2"/>
      <c r="H158" s="2"/>
      <c r="I158" s="2"/>
      <c r="J158" s="2"/>
      <c r="L158" s="2"/>
      <c r="M158" s="10">
        <v>40000</v>
      </c>
      <c r="N158" s="2">
        <f>44409-7402</f>
        <v>37007</v>
      </c>
      <c r="O158" s="2"/>
      <c r="P158" s="2"/>
      <c r="Q158" s="2"/>
      <c r="R158" s="3"/>
      <c r="T158" s="3"/>
      <c r="U158" s="3"/>
      <c r="V158" s="3"/>
      <c r="W158" s="18">
        <f t="shared" si="13"/>
        <v>40000</v>
      </c>
      <c r="X158" s="2">
        <f t="shared" si="14"/>
        <v>37007</v>
      </c>
      <c r="Y158" s="51" t="s">
        <v>85</v>
      </c>
    </row>
    <row r="159" spans="1:25" x14ac:dyDescent="0.25">
      <c r="A159" s="17">
        <v>137</v>
      </c>
      <c r="B159" s="1" t="s">
        <v>67</v>
      </c>
      <c r="D159" s="2"/>
      <c r="F159" s="2"/>
      <c r="G159" s="2"/>
      <c r="H159" s="2"/>
      <c r="I159" s="2"/>
      <c r="J159" s="2"/>
      <c r="L159" s="2"/>
      <c r="M159" s="10">
        <v>100000</v>
      </c>
      <c r="N159" s="2">
        <f>22826+55000</f>
        <v>77826</v>
      </c>
      <c r="O159" s="2"/>
      <c r="P159" s="2"/>
      <c r="Q159" s="2"/>
      <c r="R159" s="3"/>
      <c r="T159" s="3"/>
      <c r="U159" s="3"/>
      <c r="V159" s="3"/>
      <c r="W159" s="18">
        <f t="shared" si="13"/>
        <v>100000</v>
      </c>
      <c r="X159" s="2">
        <f t="shared" si="14"/>
        <v>77826</v>
      </c>
      <c r="Y159" s="1" t="s">
        <v>67</v>
      </c>
    </row>
    <row r="160" spans="1:25" ht="15" x14ac:dyDescent="0.25">
      <c r="A160" s="17">
        <v>138</v>
      </c>
      <c r="B160" s="51" t="s">
        <v>83</v>
      </c>
      <c r="D160" s="2"/>
      <c r="F160" s="2"/>
      <c r="G160" s="2"/>
      <c r="H160" s="2"/>
      <c r="I160" s="2"/>
      <c r="J160" s="2"/>
      <c r="L160" s="2"/>
      <c r="M160" s="10">
        <v>250000</v>
      </c>
      <c r="N160" s="2">
        <f>75300+8138+18852+31591+0+26268+36024+21572+14841</f>
        <v>232586</v>
      </c>
      <c r="O160" s="2"/>
      <c r="P160" s="2"/>
      <c r="Q160" s="2"/>
      <c r="R160" s="3"/>
      <c r="T160" s="3"/>
      <c r="U160" s="3"/>
      <c r="V160" s="3"/>
      <c r="W160" s="18">
        <f t="shared" si="13"/>
        <v>250000</v>
      </c>
      <c r="X160" s="2">
        <f t="shared" si="14"/>
        <v>232586</v>
      </c>
      <c r="Y160" s="51" t="s">
        <v>83</v>
      </c>
    </row>
    <row r="161" spans="1:27" x14ac:dyDescent="0.25">
      <c r="A161" s="17">
        <v>139</v>
      </c>
      <c r="B161" s="1" t="s">
        <v>66</v>
      </c>
      <c r="D161" s="2"/>
      <c r="F161" s="2"/>
      <c r="G161" s="2"/>
      <c r="H161" s="2"/>
      <c r="I161" s="10">
        <v>325000</v>
      </c>
      <c r="J161" s="2">
        <f>37738+21241+22934+22766+45597+0+26265+23338+17199+23757+42033+33482</f>
        <v>316350</v>
      </c>
      <c r="L161" s="2"/>
      <c r="N161" s="2"/>
      <c r="O161" s="2"/>
      <c r="P161" s="2"/>
      <c r="Q161" s="2"/>
      <c r="R161" s="3"/>
      <c r="T161" s="3"/>
      <c r="U161" s="3"/>
      <c r="V161" s="3"/>
      <c r="W161" s="18">
        <f t="shared" si="13"/>
        <v>325000</v>
      </c>
      <c r="X161" s="2">
        <f t="shared" si="14"/>
        <v>316350</v>
      </c>
      <c r="Y161" s="1" t="s">
        <v>66</v>
      </c>
    </row>
    <row r="162" spans="1:27" x14ac:dyDescent="0.25">
      <c r="A162" s="17">
        <v>140</v>
      </c>
      <c r="B162" s="1" t="s">
        <v>64</v>
      </c>
      <c r="D162" s="2"/>
      <c r="F162" s="2"/>
      <c r="G162" s="2"/>
      <c r="H162" s="2"/>
      <c r="J162" s="2"/>
      <c r="L162" s="2"/>
      <c r="N162" s="2"/>
      <c r="O162" s="2"/>
      <c r="P162" s="2"/>
      <c r="Q162" s="10">
        <v>35000</v>
      </c>
      <c r="R162" s="2">
        <f>2362+2362+2362+3937+11811+0+787+787+3150+787+787+1575</f>
        <v>30707</v>
      </c>
      <c r="T162" s="3"/>
      <c r="U162" s="3"/>
      <c r="V162" s="3"/>
      <c r="W162" s="18">
        <f t="shared" si="13"/>
        <v>35000</v>
      </c>
      <c r="X162" s="2">
        <f t="shared" si="14"/>
        <v>30707</v>
      </c>
      <c r="Y162" s="1" t="s">
        <v>64</v>
      </c>
    </row>
    <row r="163" spans="1:27" x14ac:dyDescent="0.25">
      <c r="A163" s="17">
        <v>141</v>
      </c>
      <c r="B163" s="1" t="s">
        <v>84</v>
      </c>
      <c r="D163" s="2"/>
      <c r="F163" s="2"/>
      <c r="G163" s="2"/>
      <c r="H163" s="2"/>
      <c r="J163" s="2"/>
      <c r="L163" s="2"/>
      <c r="N163" s="2"/>
      <c r="O163" s="2"/>
      <c r="P163" s="2"/>
      <c r="Q163" s="10">
        <v>1150000</v>
      </c>
      <c r="R163" s="2">
        <f>205800+11811+113600+141800+92600+51200+25000+11811+99000+98400+20800+65400+35200+153400</f>
        <v>1125822</v>
      </c>
      <c r="T163" s="3"/>
      <c r="U163" s="3"/>
      <c r="V163" s="3"/>
      <c r="W163" s="18">
        <f t="shared" si="13"/>
        <v>1150000</v>
      </c>
      <c r="X163" s="2">
        <f t="shared" si="14"/>
        <v>1125822</v>
      </c>
      <c r="Y163" s="1" t="s">
        <v>84</v>
      </c>
    </row>
    <row r="164" spans="1:27" x14ac:dyDescent="0.25">
      <c r="A164" s="17">
        <v>142</v>
      </c>
      <c r="B164" s="91" t="s">
        <v>180</v>
      </c>
      <c r="D164" s="2"/>
      <c r="F164" s="2"/>
      <c r="G164" s="90">
        <v>13500000</v>
      </c>
      <c r="H164" s="2"/>
      <c r="J164" s="2"/>
      <c r="L164" s="2"/>
      <c r="N164" s="2"/>
      <c r="O164" s="2"/>
      <c r="P164" s="2"/>
      <c r="R164" s="3"/>
      <c r="T164" s="3"/>
      <c r="U164" s="3"/>
      <c r="V164" s="3"/>
      <c r="W164" s="18">
        <f t="shared" ref="W164:W169" si="15">C164+E164+G164+O164+I164+K164+M164+Q164+U164+S164</f>
        <v>13500000</v>
      </c>
      <c r="X164" s="2">
        <f t="shared" ref="X164:X169" si="16">D164+F164+H164+P164+J164+L164+N164+R164+T164+V164</f>
        <v>0</v>
      </c>
      <c r="Y164" s="1"/>
    </row>
    <row r="165" spans="1:27" x14ac:dyDescent="0.25">
      <c r="A165" s="17">
        <v>143</v>
      </c>
      <c r="B165" s="1" t="s">
        <v>178</v>
      </c>
      <c r="D165" s="2"/>
      <c r="F165" s="2"/>
      <c r="G165" s="2"/>
      <c r="H165" s="2"/>
      <c r="J165" s="2"/>
      <c r="L165" s="2"/>
      <c r="M165" s="10">
        <v>15000</v>
      </c>
      <c r="N165" s="2">
        <f>2992+9120</f>
        <v>12112</v>
      </c>
      <c r="O165" s="2"/>
      <c r="P165" s="2"/>
      <c r="Q165" s="2"/>
      <c r="R165" s="3"/>
      <c r="T165" s="3"/>
      <c r="U165" s="3"/>
      <c r="V165" s="3"/>
      <c r="W165" s="18">
        <f t="shared" si="15"/>
        <v>15000</v>
      </c>
      <c r="X165" s="2">
        <f t="shared" si="16"/>
        <v>12112</v>
      </c>
      <c r="Y165" s="1" t="s">
        <v>178</v>
      </c>
    </row>
    <row r="166" spans="1:27" ht="31.5" x14ac:dyDescent="0.25">
      <c r="A166" s="17">
        <v>144</v>
      </c>
      <c r="B166" s="52" t="s">
        <v>97</v>
      </c>
      <c r="C166" s="10">
        <v>156804</v>
      </c>
      <c r="D166" s="2">
        <f>52268+52268+52268+52268+52268+52268</f>
        <v>313608</v>
      </c>
      <c r="F166" s="2"/>
      <c r="G166" s="2"/>
      <c r="H166" s="2"/>
      <c r="J166" s="2"/>
      <c r="L166" s="2"/>
      <c r="N166" s="2"/>
      <c r="O166" s="2"/>
      <c r="P166" s="2"/>
      <c r="Q166" s="2"/>
      <c r="R166" s="3"/>
      <c r="T166" s="3"/>
      <c r="U166" s="3"/>
      <c r="V166" s="3"/>
      <c r="W166" s="18">
        <f t="shared" si="15"/>
        <v>156804</v>
      </c>
      <c r="X166" s="2">
        <f t="shared" si="16"/>
        <v>313608</v>
      </c>
      <c r="Y166" s="52" t="s">
        <v>97</v>
      </c>
    </row>
    <row r="167" spans="1:27" ht="15" x14ac:dyDescent="0.25">
      <c r="A167" s="17">
        <v>145</v>
      </c>
      <c r="B167" s="51" t="s">
        <v>60</v>
      </c>
      <c r="D167" s="2"/>
      <c r="E167" s="10">
        <v>7518914</v>
      </c>
      <c r="F167" s="2">
        <f>384753+501960+509606+551012+419071+512154+1019665+283468+184835+234326+358635+572670+111614+531265+97378+276378+494955</f>
        <v>7043745</v>
      </c>
      <c r="G167" s="2"/>
      <c r="H167" s="2"/>
      <c r="J167" s="2"/>
      <c r="L167" s="2"/>
      <c r="N167" s="2"/>
      <c r="O167" s="2"/>
      <c r="P167" s="2"/>
      <c r="Q167" s="2"/>
      <c r="R167" s="3"/>
      <c r="T167" s="3"/>
      <c r="U167" s="3"/>
      <c r="V167" s="3"/>
      <c r="W167" s="18">
        <f t="shared" si="15"/>
        <v>7518914</v>
      </c>
      <c r="X167" s="2">
        <f t="shared" si="16"/>
        <v>7043745</v>
      </c>
      <c r="Y167" s="51" t="s">
        <v>60</v>
      </c>
    </row>
    <row r="168" spans="1:27" s="74" customFormat="1" x14ac:dyDescent="0.25">
      <c r="A168" s="17">
        <v>146</v>
      </c>
      <c r="B168" s="54" t="s">
        <v>70</v>
      </c>
      <c r="C168" s="74">
        <v>0</v>
      </c>
      <c r="D168" s="56"/>
      <c r="E168" s="74">
        <v>0</v>
      </c>
      <c r="F168" s="56"/>
      <c r="G168" s="74">
        <v>91171004</v>
      </c>
      <c r="H168" s="56">
        <f>5921850+5921855+5921855+5921855+5921855+5921855+7255188+7255188+7255188+7255188+7255188+6517777</f>
        <v>78324842</v>
      </c>
      <c r="I168" s="56"/>
      <c r="J168" s="56"/>
      <c r="K168" s="74">
        <v>902736</v>
      </c>
      <c r="L168" s="56">
        <f>49970+49970+49971+49971+49971+49971+49971+49971+49971+49971+49971+49971</f>
        <v>599650</v>
      </c>
      <c r="M168" s="74">
        <v>0</v>
      </c>
      <c r="N168" s="56"/>
      <c r="O168" s="56"/>
      <c r="P168" s="56"/>
      <c r="Q168" s="74">
        <v>6431976</v>
      </c>
      <c r="R168" s="56">
        <f>516475+516475+516475+516475+516475+516475+516475+516475+516475+516475+516475+516475</f>
        <v>6197700</v>
      </c>
      <c r="S168" s="74">
        <v>9099784</v>
      </c>
      <c r="T168" s="55">
        <f>514722+514723+514723+514723+514723+514723+514723+514723+514723+514723+514723+514723</f>
        <v>6176675</v>
      </c>
      <c r="U168" s="74">
        <v>6824644</v>
      </c>
      <c r="V168" s="55">
        <f>221378+221380+221380+221380+221380+221380+221380+221380+221380+221380+221380</f>
        <v>2435178</v>
      </c>
      <c r="W168" s="77">
        <f t="shared" si="15"/>
        <v>114430144</v>
      </c>
      <c r="X168" s="2">
        <f t="shared" si="16"/>
        <v>93734045</v>
      </c>
      <c r="Y168" s="54" t="s">
        <v>70</v>
      </c>
      <c r="Z168" s="74">
        <v>86471455</v>
      </c>
      <c r="AA168" s="74">
        <f>X168-Z168</f>
        <v>7262590</v>
      </c>
    </row>
    <row r="169" spans="1:27" s="74" customFormat="1" x14ac:dyDescent="0.25">
      <c r="A169" s="17">
        <v>147</v>
      </c>
      <c r="B169" s="54" t="s">
        <v>71</v>
      </c>
      <c r="C169" s="74">
        <f>C124</f>
        <v>1275000</v>
      </c>
      <c r="D169" s="56"/>
      <c r="E169" s="74">
        <f>E124</f>
        <v>982914</v>
      </c>
      <c r="F169" s="56"/>
      <c r="G169" s="74">
        <f>G124</f>
        <v>621000</v>
      </c>
      <c r="H169" s="55">
        <f>H124</f>
        <v>187000</v>
      </c>
      <c r="I169" s="74">
        <f>I124</f>
        <v>0</v>
      </c>
      <c r="J169" s="55">
        <f>J124</f>
        <v>0</v>
      </c>
      <c r="K169" s="74">
        <f>K124</f>
        <v>0</v>
      </c>
      <c r="L169" s="56"/>
      <c r="M169" s="74">
        <f>M124</f>
        <v>0</v>
      </c>
      <c r="N169" s="56"/>
      <c r="O169" s="74">
        <v>0</v>
      </c>
      <c r="P169" s="55">
        <f>P124</f>
        <v>0</v>
      </c>
      <c r="Q169" s="74">
        <f>Q124</f>
        <v>0</v>
      </c>
      <c r="R169" s="55">
        <f>R124</f>
        <v>0</v>
      </c>
      <c r="T169" s="55"/>
      <c r="U169" s="55"/>
      <c r="V169" s="55">
        <f>V124</f>
        <v>0</v>
      </c>
      <c r="W169" s="77">
        <f t="shared" si="15"/>
        <v>2878914</v>
      </c>
      <c r="X169" s="2">
        <f t="shared" si="16"/>
        <v>187000</v>
      </c>
      <c r="Y169" s="54" t="s">
        <v>71</v>
      </c>
    </row>
    <row r="170" spans="1:27" s="43" customFormat="1" x14ac:dyDescent="0.25">
      <c r="A170" s="17"/>
      <c r="B170" s="16" t="s">
        <v>72</v>
      </c>
      <c r="C170" s="37">
        <f>SUM(C132:C169)</f>
        <v>42781804</v>
      </c>
      <c r="D170" s="37">
        <f t="shared" ref="D170:X170" si="17">SUM(D132:D169)</f>
        <v>37287227</v>
      </c>
      <c r="E170" s="37">
        <f>SUM(E132:E169)</f>
        <v>93595379</v>
      </c>
      <c r="F170" s="37">
        <f t="shared" si="17"/>
        <v>88654374</v>
      </c>
      <c r="G170" s="37">
        <f t="shared" si="17"/>
        <v>105292004</v>
      </c>
      <c r="H170" s="37">
        <f t="shared" si="17"/>
        <v>78511842</v>
      </c>
      <c r="I170" s="37">
        <f t="shared" si="17"/>
        <v>326000</v>
      </c>
      <c r="J170" s="37">
        <f t="shared" si="17"/>
        <v>317350</v>
      </c>
      <c r="K170" s="37">
        <f t="shared" si="17"/>
        <v>1602736</v>
      </c>
      <c r="L170" s="37">
        <f t="shared" si="17"/>
        <v>1249574</v>
      </c>
      <c r="M170" s="37">
        <f>SUM(M132:M169)</f>
        <v>2143700</v>
      </c>
      <c r="N170" s="37">
        <f t="shared" si="17"/>
        <v>2714475</v>
      </c>
      <c r="O170" s="37">
        <f t="shared" si="17"/>
        <v>20406000</v>
      </c>
      <c r="P170" s="37">
        <f t="shared" si="17"/>
        <v>10877779</v>
      </c>
      <c r="Q170" s="37">
        <f t="shared" si="17"/>
        <v>7616976</v>
      </c>
      <c r="R170" s="37">
        <f t="shared" si="17"/>
        <v>7354229</v>
      </c>
      <c r="S170" s="37">
        <f t="shared" si="17"/>
        <v>11781984</v>
      </c>
      <c r="T170" s="37">
        <f t="shared" si="17"/>
        <v>7411388</v>
      </c>
      <c r="U170" s="37">
        <f t="shared" si="17"/>
        <v>6824644</v>
      </c>
      <c r="V170" s="37">
        <f t="shared" si="17"/>
        <v>2435178</v>
      </c>
      <c r="W170" s="36">
        <f>SUM(W132:W169)</f>
        <v>292371227</v>
      </c>
      <c r="X170" s="375">
        <f t="shared" si="17"/>
        <v>236813416</v>
      </c>
      <c r="Y170" s="16" t="s">
        <v>72</v>
      </c>
    </row>
    <row r="171" spans="1:27" s="43" customFormat="1" ht="16.5" thickBot="1" x14ac:dyDescent="0.3">
      <c r="A171" s="17"/>
      <c r="B171" s="20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2"/>
      <c r="S171" s="57"/>
      <c r="T171" s="37"/>
      <c r="U171" s="57"/>
      <c r="V171" s="57"/>
      <c r="W171" s="23"/>
      <c r="X171" s="370"/>
      <c r="Y171" s="20"/>
    </row>
    <row r="172" spans="1:27" ht="23.25" customHeight="1" x14ac:dyDescent="0.25">
      <c r="C172" s="10">
        <f>+C170-C129</f>
        <v>123187.56000000238</v>
      </c>
      <c r="E172" s="10">
        <f>+E170-E129</f>
        <v>437057.6400000006</v>
      </c>
      <c r="G172" s="10">
        <f>+G170-G129</f>
        <v>0.40000000596046448</v>
      </c>
      <c r="I172" s="10">
        <f>+I170-I129</f>
        <v>-47810802</v>
      </c>
      <c r="K172" s="10">
        <f>+K170-K129</f>
        <v>-4.0000000037252903E-2</v>
      </c>
      <c r="M172" s="10">
        <f>+M170-M129</f>
        <v>679595.94</v>
      </c>
      <c r="O172" s="10">
        <f>+O170-O129</f>
        <v>545.74000000208616</v>
      </c>
      <c r="Q172" s="10">
        <f>+Q170-Q129</f>
        <v>-0.14000000059604645</v>
      </c>
      <c r="S172" s="10">
        <f>+S170-S129</f>
        <v>-6.0000000521540642E-2</v>
      </c>
      <c r="T172" s="10"/>
      <c r="U172" s="10">
        <f>+U170-U129</f>
        <v>-4.0000000037252903E-2</v>
      </c>
      <c r="X172" s="5"/>
    </row>
    <row r="173" spans="1:27" ht="51.6" customHeight="1" x14ac:dyDescent="0.25">
      <c r="C173" s="445" t="s">
        <v>117</v>
      </c>
      <c r="D173" s="447"/>
      <c r="E173" s="447" t="s">
        <v>118</v>
      </c>
      <c r="F173" s="447"/>
      <c r="G173" s="447" t="s">
        <v>119</v>
      </c>
      <c r="H173" s="447"/>
      <c r="I173" s="445" t="s">
        <v>121</v>
      </c>
      <c r="J173" s="446"/>
      <c r="K173" s="445" t="s">
        <v>116</v>
      </c>
      <c r="L173" s="446"/>
      <c r="M173" s="445" t="s">
        <v>122</v>
      </c>
      <c r="N173" s="446"/>
      <c r="O173" s="447" t="s">
        <v>120</v>
      </c>
      <c r="P173" s="446"/>
      <c r="Q173" s="445" t="s">
        <v>115</v>
      </c>
      <c r="R173" s="446"/>
      <c r="S173" s="445" t="s">
        <v>114</v>
      </c>
      <c r="T173" s="446"/>
      <c r="U173" s="445" t="s">
        <v>113</v>
      </c>
      <c r="V173" s="446"/>
      <c r="W173" s="445" t="s">
        <v>5</v>
      </c>
      <c r="X173" s="446"/>
    </row>
    <row r="174" spans="1:27" x14ac:dyDescent="0.25">
      <c r="S174" s="5"/>
      <c r="T174" s="5"/>
      <c r="V174" s="5"/>
      <c r="W174" s="5"/>
      <c r="X174" s="376"/>
    </row>
    <row r="175" spans="1:27" x14ac:dyDescent="0.25">
      <c r="T175" s="10"/>
      <c r="W175" s="5"/>
      <c r="X175" s="5"/>
    </row>
    <row r="176" spans="1:27" x14ac:dyDescent="0.25">
      <c r="S176" s="5"/>
      <c r="T176" s="5"/>
      <c r="V176" s="5"/>
      <c r="W176" s="5">
        <f>W170-W125</f>
        <v>1566387</v>
      </c>
      <c r="X176" s="5"/>
    </row>
    <row r="177" spans="8:27" x14ac:dyDescent="0.25">
      <c r="H177" s="5"/>
      <c r="I177" s="5"/>
      <c r="J177" s="5"/>
      <c r="K177" s="5"/>
      <c r="L177" s="5"/>
      <c r="M177" s="5"/>
      <c r="N177" s="5"/>
      <c r="O177" s="5"/>
      <c r="P177" s="5"/>
      <c r="Q177" s="5"/>
      <c r="S177" s="5"/>
      <c r="T177" s="5"/>
      <c r="V177" s="5"/>
      <c r="W177" s="5"/>
      <c r="X177" s="5"/>
    </row>
    <row r="178" spans="8:27" x14ac:dyDescent="0.25">
      <c r="H178" s="5"/>
      <c r="I178" s="5"/>
      <c r="J178" s="5"/>
      <c r="K178" s="5"/>
      <c r="L178" s="5"/>
      <c r="M178" s="5"/>
      <c r="N178" s="5"/>
      <c r="O178" s="5"/>
      <c r="P178" s="5"/>
      <c r="Q178" s="5"/>
      <c r="S178" s="5"/>
      <c r="T178" s="5"/>
      <c r="V178" s="5"/>
      <c r="W178" s="5"/>
      <c r="X178" s="5"/>
    </row>
    <row r="179" spans="8:27" x14ac:dyDescent="0.25">
      <c r="H179" s="5"/>
      <c r="I179" s="5"/>
      <c r="J179" s="5"/>
      <c r="K179" s="5"/>
      <c r="L179" s="5"/>
      <c r="M179" s="5"/>
      <c r="N179" s="5"/>
      <c r="O179" s="5"/>
      <c r="P179" s="5"/>
      <c r="Q179" s="5"/>
      <c r="S179" s="5"/>
      <c r="T179" s="5"/>
      <c r="V179" s="5"/>
      <c r="W179" s="5"/>
      <c r="X179" s="5"/>
    </row>
    <row r="180" spans="8:27" x14ac:dyDescent="0.25">
      <c r="H180" s="60"/>
      <c r="I180" s="61"/>
      <c r="J180" s="61"/>
      <c r="K180" s="61"/>
      <c r="L180" s="61"/>
      <c r="M180" s="61"/>
      <c r="N180" s="5"/>
      <c r="O180" s="61"/>
      <c r="P180" s="61"/>
      <c r="Q180" s="5"/>
      <c r="S180" s="5"/>
      <c r="T180" s="5"/>
      <c r="V180" s="5"/>
      <c r="W180" s="5"/>
      <c r="X180" s="5"/>
    </row>
    <row r="181" spans="8:27" x14ac:dyDescent="0.25">
      <c r="H181" s="60"/>
      <c r="I181" s="61"/>
      <c r="J181" s="61"/>
      <c r="K181" s="61"/>
      <c r="L181" s="61"/>
      <c r="M181" s="61"/>
      <c r="N181" s="5"/>
      <c r="O181" s="61"/>
      <c r="P181" s="61"/>
      <c r="Q181" s="5"/>
      <c r="S181" s="5"/>
      <c r="T181" s="5"/>
      <c r="V181" s="5"/>
      <c r="W181" s="5"/>
      <c r="X181" s="5"/>
    </row>
    <row r="182" spans="8:27" x14ac:dyDescent="0.25">
      <c r="H182" s="60"/>
      <c r="I182" s="61"/>
      <c r="J182" s="61"/>
      <c r="K182" s="61"/>
      <c r="L182" s="61"/>
      <c r="M182" s="61"/>
      <c r="N182" s="5"/>
      <c r="O182" s="61"/>
      <c r="P182" s="61"/>
      <c r="Q182" s="5"/>
      <c r="S182" s="5"/>
      <c r="T182" s="5"/>
      <c r="V182" s="5"/>
      <c r="W182" s="5"/>
      <c r="X182" s="5"/>
    </row>
    <row r="183" spans="8:27" x14ac:dyDescent="0.25">
      <c r="H183" s="60"/>
      <c r="I183" s="7" t="s">
        <v>106</v>
      </c>
      <c r="J183" s="7" t="s">
        <v>107</v>
      </c>
      <c r="K183" s="7" t="s">
        <v>4</v>
      </c>
      <c r="L183" s="7" t="s">
        <v>108</v>
      </c>
      <c r="M183" s="7" t="s">
        <v>109</v>
      </c>
      <c r="N183" s="7" t="s">
        <v>98</v>
      </c>
      <c r="O183" s="7" t="s">
        <v>2</v>
      </c>
      <c r="P183" s="7" t="s">
        <v>3</v>
      </c>
      <c r="Q183" s="7" t="s">
        <v>77</v>
      </c>
      <c r="R183" s="7"/>
      <c r="S183" s="5"/>
      <c r="T183" s="10"/>
      <c r="U183" s="7"/>
      <c r="V183" s="5"/>
      <c r="W183" s="5"/>
      <c r="X183" s="5"/>
      <c r="Z183" s="5"/>
      <c r="AA183" s="12"/>
    </row>
    <row r="184" spans="8:27" x14ac:dyDescent="0.25">
      <c r="H184" s="62">
        <v>9109800</v>
      </c>
      <c r="I184" s="63">
        <v>0.6</v>
      </c>
      <c r="J184" s="63">
        <v>0.05</v>
      </c>
      <c r="K184" s="63">
        <v>0</v>
      </c>
      <c r="L184" s="63">
        <v>0.05</v>
      </c>
      <c r="M184" s="63">
        <v>0.02</v>
      </c>
      <c r="N184" s="63">
        <v>0</v>
      </c>
      <c r="O184" s="63">
        <v>0.23</v>
      </c>
      <c r="P184" s="63">
        <v>0.05</v>
      </c>
      <c r="Q184" s="63">
        <v>0</v>
      </c>
      <c r="R184" s="64">
        <f>SUM(I184:Q184)</f>
        <v>1</v>
      </c>
      <c r="S184" s="5"/>
      <c r="T184" s="10"/>
      <c r="U184" s="64"/>
      <c r="V184" s="5"/>
      <c r="W184" s="5"/>
      <c r="X184" s="5"/>
      <c r="Z184" s="5"/>
      <c r="AA184" s="12"/>
    </row>
    <row r="185" spans="8:27" x14ac:dyDescent="0.25">
      <c r="H185" s="62">
        <v>4374150</v>
      </c>
      <c r="I185" s="63">
        <v>0.25</v>
      </c>
      <c r="J185" s="63">
        <v>0.05</v>
      </c>
      <c r="K185" s="63">
        <v>0.1</v>
      </c>
      <c r="L185" s="63">
        <v>0.05</v>
      </c>
      <c r="M185" s="63">
        <v>0.05</v>
      </c>
      <c r="N185" s="63">
        <v>0</v>
      </c>
      <c r="O185" s="63">
        <v>0.4</v>
      </c>
      <c r="P185" s="63">
        <v>0.1</v>
      </c>
      <c r="Q185" s="63">
        <v>0</v>
      </c>
      <c r="R185" s="64">
        <f>SUM(I185:Q185)</f>
        <v>1</v>
      </c>
      <c r="S185" s="5"/>
      <c r="T185" s="10"/>
      <c r="U185" s="64"/>
      <c r="V185" s="5"/>
      <c r="W185" s="5"/>
      <c r="X185" s="5"/>
      <c r="Z185" s="5"/>
      <c r="AA185" s="12"/>
    </row>
    <row r="186" spans="8:27" x14ac:dyDescent="0.25">
      <c r="H186" s="62">
        <v>4374150</v>
      </c>
      <c r="I186" s="63">
        <v>0.25</v>
      </c>
      <c r="J186" s="63">
        <v>0.12</v>
      </c>
      <c r="K186" s="63">
        <v>0.1</v>
      </c>
      <c r="L186" s="63">
        <v>0.05</v>
      </c>
      <c r="M186" s="63">
        <v>0.13</v>
      </c>
      <c r="N186" s="63">
        <v>0</v>
      </c>
      <c r="O186" s="63">
        <v>0.1</v>
      </c>
      <c r="P186" s="63">
        <v>0.2</v>
      </c>
      <c r="Q186" s="63">
        <v>0.05</v>
      </c>
      <c r="R186" s="64">
        <f>SUM(I186:Q186)</f>
        <v>1</v>
      </c>
      <c r="S186" s="5"/>
      <c r="T186" s="10"/>
      <c r="U186" s="64"/>
      <c r="V186" s="5"/>
      <c r="W186" s="5"/>
      <c r="X186" s="5"/>
      <c r="Z186" s="5"/>
      <c r="AA186" s="12"/>
    </row>
    <row r="187" spans="8:27" x14ac:dyDescent="0.25">
      <c r="H187" s="62">
        <v>7953000</v>
      </c>
      <c r="I187" s="63">
        <v>0.5</v>
      </c>
      <c r="J187" s="63">
        <v>0.18</v>
      </c>
      <c r="K187" s="63">
        <v>0</v>
      </c>
      <c r="L187" s="63">
        <v>0.05</v>
      </c>
      <c r="M187" s="63">
        <v>0.1</v>
      </c>
      <c r="N187" s="63">
        <v>0.03</v>
      </c>
      <c r="O187" s="63">
        <v>0.12</v>
      </c>
      <c r="P187" s="63">
        <v>0.02</v>
      </c>
      <c r="Q187" s="63">
        <v>0</v>
      </c>
      <c r="R187" s="64">
        <f>SUM(I187:Q187)</f>
        <v>1</v>
      </c>
      <c r="S187" s="5"/>
      <c r="T187" s="10"/>
      <c r="U187" s="64"/>
      <c r="V187" s="5"/>
      <c r="W187" s="5"/>
      <c r="X187" s="5"/>
      <c r="Z187" s="59"/>
      <c r="AA187" s="12"/>
    </row>
    <row r="188" spans="8:27" x14ac:dyDescent="0.25">
      <c r="I188" s="7">
        <f t="shared" ref="I188:Q188" si="18">$H$184*I184+$H$185*I185+$H$186*I186+$H$187*I187</f>
        <v>11629455</v>
      </c>
      <c r="J188" s="7">
        <f t="shared" si="18"/>
        <v>2630635.5</v>
      </c>
      <c r="K188" s="7">
        <f t="shared" si="18"/>
        <v>874830</v>
      </c>
      <c r="L188" s="7">
        <f t="shared" si="18"/>
        <v>1290555</v>
      </c>
      <c r="M188" s="7">
        <f t="shared" si="18"/>
        <v>1764843</v>
      </c>
      <c r="N188" s="7">
        <f t="shared" si="18"/>
        <v>238590</v>
      </c>
      <c r="O188" s="7">
        <f>$H$184*O184+$H$185*O185+$H$186*O186+$H$187*O187</f>
        <v>5236689</v>
      </c>
      <c r="P188" s="7">
        <f>$H$184*P184+$H$185*P185+$H$186*P186+$H$187*P187</f>
        <v>1926795</v>
      </c>
      <c r="Q188" s="7">
        <f t="shared" si="18"/>
        <v>218707.5</v>
      </c>
      <c r="R188" s="7">
        <f>SUM(I188:Q188)</f>
        <v>25811100</v>
      </c>
      <c r="T188" s="10"/>
      <c r="U188" s="7"/>
      <c r="W188" s="5"/>
      <c r="X188" s="5"/>
      <c r="Z188" s="5"/>
      <c r="AA188" s="12"/>
    </row>
    <row r="189" spans="8:27" x14ac:dyDescent="0.25">
      <c r="I189" s="64">
        <f t="shared" ref="I189:Q189" si="19">I188/$R$188</f>
        <v>0.45056022408963586</v>
      </c>
      <c r="J189" s="64">
        <f t="shared" si="19"/>
        <v>0.10191876750700279</v>
      </c>
      <c r="K189" s="64">
        <f t="shared" si="19"/>
        <v>3.3893557422969185E-2</v>
      </c>
      <c r="L189" s="64">
        <f t="shared" si="19"/>
        <v>0.05</v>
      </c>
      <c r="M189" s="64">
        <f t="shared" si="19"/>
        <v>6.8375350140056024E-2</v>
      </c>
      <c r="N189" s="64">
        <f t="shared" si="19"/>
        <v>9.2436974789915968E-3</v>
      </c>
      <c r="O189" s="64">
        <f>O188/$R$188</f>
        <v>0.20288515406162466</v>
      </c>
      <c r="P189" s="64">
        <f>P188/$R$188</f>
        <v>7.464985994397759E-2</v>
      </c>
      <c r="Q189" s="64">
        <f t="shared" si="19"/>
        <v>8.4733893557422963E-3</v>
      </c>
      <c r="S189" s="5"/>
      <c r="T189" s="5"/>
      <c r="V189" s="5"/>
      <c r="W189" s="5"/>
      <c r="X189" s="5"/>
    </row>
    <row r="190" spans="8:27" x14ac:dyDescent="0.25">
      <c r="S190" s="5"/>
      <c r="T190" s="5"/>
      <c r="V190" s="5"/>
      <c r="W190" s="5"/>
      <c r="X190" s="5"/>
    </row>
    <row r="191" spans="8:27" x14ac:dyDescent="0.25">
      <c r="S191" s="5"/>
      <c r="T191" s="5"/>
      <c r="V191" s="5"/>
      <c r="W191" s="5"/>
      <c r="X191" s="5"/>
    </row>
    <row r="192" spans="8:27" x14ac:dyDescent="0.25">
      <c r="S192" s="5"/>
      <c r="T192" s="5"/>
      <c r="V192" s="5"/>
      <c r="W192" s="5"/>
      <c r="X192" s="5"/>
    </row>
    <row r="193" spans="19:24" x14ac:dyDescent="0.25">
      <c r="S193" s="5"/>
      <c r="T193" s="5"/>
      <c r="V193" s="5"/>
      <c r="W193" s="5"/>
      <c r="X193" s="5"/>
    </row>
    <row r="194" spans="19:24" x14ac:dyDescent="0.25">
      <c r="S194" s="5"/>
      <c r="T194" s="5"/>
      <c r="V194" s="5"/>
      <c r="W194" s="5"/>
      <c r="X194" s="5"/>
    </row>
    <row r="195" spans="19:24" x14ac:dyDescent="0.25">
      <c r="S195" s="5"/>
      <c r="T195" s="5"/>
      <c r="V195" s="5"/>
      <c r="W195" s="5"/>
      <c r="X195" s="5"/>
    </row>
    <row r="196" spans="19:24" x14ac:dyDescent="0.25">
      <c r="S196" s="5"/>
      <c r="T196" s="5"/>
      <c r="V196" s="5"/>
      <c r="W196" s="5"/>
      <c r="X196" s="5"/>
    </row>
    <row r="197" spans="19:24" x14ac:dyDescent="0.25">
      <c r="S197" s="5"/>
      <c r="T197" s="5"/>
      <c r="V197" s="5"/>
      <c r="W197" s="5"/>
      <c r="X197" s="5"/>
    </row>
  </sheetData>
  <sortState ref="A98:V123">
    <sortCondition ref="A98:A123"/>
  </sortState>
  <mergeCells count="60">
    <mergeCell ref="W130:X130"/>
    <mergeCell ref="C173:D173"/>
    <mergeCell ref="E173:F173"/>
    <mergeCell ref="G173:H173"/>
    <mergeCell ref="I173:J173"/>
    <mergeCell ref="K173:L173"/>
    <mergeCell ref="M173:N173"/>
    <mergeCell ref="O173:P173"/>
    <mergeCell ref="Q173:R173"/>
    <mergeCell ref="S173:T173"/>
    <mergeCell ref="U173:V173"/>
    <mergeCell ref="W173:X173"/>
    <mergeCell ref="M130:N130"/>
    <mergeCell ref="O130:P130"/>
    <mergeCell ref="Q130:R130"/>
    <mergeCell ref="S130:T130"/>
    <mergeCell ref="U130:V130"/>
    <mergeCell ref="C130:D130"/>
    <mergeCell ref="E130:F130"/>
    <mergeCell ref="G130:H130"/>
    <mergeCell ref="I130:J130"/>
    <mergeCell ref="K130:L130"/>
    <mergeCell ref="W12:X12"/>
    <mergeCell ref="C96:D96"/>
    <mergeCell ref="E96:F96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M12:N12"/>
    <mergeCell ref="O12:P12"/>
    <mergeCell ref="Q12:R12"/>
    <mergeCell ref="S12:T12"/>
    <mergeCell ref="U12:V12"/>
    <mergeCell ref="C12:D12"/>
    <mergeCell ref="E12:F12"/>
    <mergeCell ref="G12:H12"/>
    <mergeCell ref="I12:J12"/>
    <mergeCell ref="K12:L12"/>
    <mergeCell ref="Y4:Y5"/>
    <mergeCell ref="C5:D5"/>
    <mergeCell ref="E5:F5"/>
    <mergeCell ref="G5:H5"/>
    <mergeCell ref="O5:P5"/>
    <mergeCell ref="I5:J5"/>
    <mergeCell ref="W5:X5"/>
    <mergeCell ref="M5:N5"/>
    <mergeCell ref="Q5:R5"/>
    <mergeCell ref="U5:V5"/>
    <mergeCell ref="S5:T5"/>
    <mergeCell ref="A1:C1"/>
    <mergeCell ref="A3:C3"/>
    <mergeCell ref="A4:A5"/>
    <mergeCell ref="B4:B5"/>
    <mergeCell ref="K5:L5"/>
  </mergeCells>
  <pageMargins left="0.70866141732283472" right="0.70866141732283472" top="0.74803149606299213" bottom="0.74803149606299213" header="0.31496062992125984" footer="0.31496062992125984"/>
  <pageSetup paperSize="8" scale="34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opLeftCell="A10" workbookViewId="0">
      <selection activeCell="B14" sqref="B14"/>
    </sheetView>
  </sheetViews>
  <sheetFormatPr defaultColWidth="8.85546875" defaultRowHeight="15" x14ac:dyDescent="0.25"/>
  <cols>
    <col min="1" max="1" width="3" style="95" bestFit="1" customWidth="1"/>
    <col min="2" max="2" width="32.5703125" style="112" bestFit="1" customWidth="1"/>
    <col min="3" max="3" width="7.140625" style="97" bestFit="1" customWidth="1"/>
    <col min="4" max="4" width="8.7109375" style="97" bestFit="1" customWidth="1"/>
    <col min="5" max="5" width="12.85546875" style="98" bestFit="1" customWidth="1"/>
    <col min="6" max="6" width="11.85546875" style="98" bestFit="1" customWidth="1"/>
    <col min="7" max="7" width="12.85546875" style="98" bestFit="1" customWidth="1"/>
    <col min="8" max="10" width="8.85546875" style="95"/>
    <col min="11" max="11" width="12.85546875" style="95" bestFit="1" customWidth="1"/>
    <col min="12" max="12" width="10.85546875" style="95" bestFit="1" customWidth="1"/>
    <col min="13" max="16384" width="8.85546875" style="95"/>
  </cols>
  <sheetData>
    <row r="1" spans="1:12" ht="15.75" thickBot="1" x14ac:dyDescent="0.3">
      <c r="B1" s="96" t="s">
        <v>181</v>
      </c>
      <c r="C1" s="97" t="s">
        <v>182</v>
      </c>
      <c r="D1" s="97" t="s">
        <v>183</v>
      </c>
      <c r="E1" s="98" t="s">
        <v>184</v>
      </c>
      <c r="F1" s="98" t="s">
        <v>185</v>
      </c>
      <c r="G1" s="98" t="s">
        <v>186</v>
      </c>
    </row>
    <row r="2" spans="1:12" x14ac:dyDescent="0.25">
      <c r="A2" s="425">
        <v>1</v>
      </c>
      <c r="B2" s="426" t="s">
        <v>146</v>
      </c>
      <c r="C2" s="427">
        <v>1</v>
      </c>
      <c r="D2" s="428" t="s">
        <v>187</v>
      </c>
      <c r="E2" s="429">
        <f>G2/1.27</f>
        <v>23622.047244094487</v>
      </c>
      <c r="F2" s="429">
        <f t="shared" ref="F2:F11" si="0">G2-E2</f>
        <v>6377.9527559055132</v>
      </c>
      <c r="G2" s="430">
        <v>30000</v>
      </c>
      <c r="H2" s="448" t="s">
        <v>188</v>
      </c>
      <c r="I2" s="449"/>
      <c r="J2" s="449"/>
    </row>
    <row r="3" spans="1:12" x14ac:dyDescent="0.25">
      <c r="A3" s="431">
        <v>2</v>
      </c>
      <c r="B3" s="432" t="s">
        <v>147</v>
      </c>
      <c r="C3" s="433">
        <v>1</v>
      </c>
      <c r="D3" s="434" t="s">
        <v>187</v>
      </c>
      <c r="E3" s="435">
        <f>G3/1.27</f>
        <v>27559.055118110235</v>
      </c>
      <c r="F3" s="435">
        <f t="shared" si="0"/>
        <v>7440.9448818897654</v>
      </c>
      <c r="G3" s="436">
        <v>35000</v>
      </c>
      <c r="H3" s="448"/>
      <c r="I3" s="449"/>
      <c r="J3" s="449"/>
    </row>
    <row r="4" spans="1:12" x14ac:dyDescent="0.25">
      <c r="A4" s="431">
        <v>3</v>
      </c>
      <c r="B4" s="437" t="s">
        <v>148</v>
      </c>
      <c r="C4" s="434">
        <v>1</v>
      </c>
      <c r="D4" s="434" t="s">
        <v>189</v>
      </c>
      <c r="E4" s="435">
        <v>1275000</v>
      </c>
      <c r="F4" s="435">
        <f t="shared" si="0"/>
        <v>344250</v>
      </c>
      <c r="G4" s="438">
        <f>E4*1.27</f>
        <v>1619250</v>
      </c>
      <c r="H4" s="448"/>
      <c r="I4" s="449"/>
      <c r="J4" s="449"/>
    </row>
    <row r="5" spans="1:12" x14ac:dyDescent="0.25">
      <c r="A5" s="431">
        <v>4</v>
      </c>
      <c r="B5" s="437" t="s">
        <v>154</v>
      </c>
      <c r="C5" s="434">
        <v>1</v>
      </c>
      <c r="D5" s="434" t="s">
        <v>187</v>
      </c>
      <c r="E5" s="435">
        <v>117000</v>
      </c>
      <c r="F5" s="435">
        <f t="shared" si="0"/>
        <v>31590</v>
      </c>
      <c r="G5" s="438">
        <f>E5*1.27</f>
        <v>148590</v>
      </c>
      <c r="H5" s="448"/>
      <c r="I5" s="449"/>
      <c r="J5" s="449"/>
    </row>
    <row r="6" spans="1:12" x14ac:dyDescent="0.25">
      <c r="A6" s="431">
        <v>5</v>
      </c>
      <c r="B6" s="437" t="s">
        <v>150</v>
      </c>
      <c r="C6" s="434">
        <v>1</v>
      </c>
      <c r="D6" s="434" t="s">
        <v>187</v>
      </c>
      <c r="E6" s="435">
        <v>62000</v>
      </c>
      <c r="F6" s="435">
        <f t="shared" si="0"/>
        <v>16740</v>
      </c>
      <c r="G6" s="438">
        <f>E6*1.27</f>
        <v>78740</v>
      </c>
      <c r="H6" s="448"/>
      <c r="I6" s="449"/>
      <c r="J6" s="449"/>
    </row>
    <row r="7" spans="1:12" x14ac:dyDescent="0.25">
      <c r="A7" s="431">
        <v>6</v>
      </c>
      <c r="B7" s="432" t="s">
        <v>151</v>
      </c>
      <c r="C7" s="433">
        <v>1</v>
      </c>
      <c r="D7" s="434" t="s">
        <v>187</v>
      </c>
      <c r="E7" s="435">
        <f>G7/1.27</f>
        <v>397637.79527559056</v>
      </c>
      <c r="F7" s="435">
        <f t="shared" si="0"/>
        <v>107362.20472440944</v>
      </c>
      <c r="G7" s="436">
        <v>505000</v>
      </c>
      <c r="H7" s="448"/>
      <c r="I7" s="449"/>
      <c r="J7" s="449"/>
    </row>
    <row r="8" spans="1:12" x14ac:dyDescent="0.25">
      <c r="A8" s="431">
        <v>7</v>
      </c>
      <c r="B8" s="437" t="s">
        <v>152</v>
      </c>
      <c r="C8" s="434">
        <v>2</v>
      </c>
      <c r="D8" s="434" t="s">
        <v>187</v>
      </c>
      <c r="E8" s="435">
        <v>394000</v>
      </c>
      <c r="F8" s="435">
        <f t="shared" si="0"/>
        <v>106380</v>
      </c>
      <c r="G8" s="438">
        <f>E8*1.27</f>
        <v>500380</v>
      </c>
      <c r="H8" s="448"/>
      <c r="I8" s="449"/>
      <c r="J8" s="449"/>
    </row>
    <row r="9" spans="1:12" x14ac:dyDescent="0.25">
      <c r="A9" s="431">
        <v>8</v>
      </c>
      <c r="B9" s="432" t="s">
        <v>153</v>
      </c>
      <c r="C9" s="433">
        <v>1</v>
      </c>
      <c r="D9" s="434" t="s">
        <v>187</v>
      </c>
      <c r="E9" s="435">
        <f>G9/1.27</f>
        <v>124645.66929133858</v>
      </c>
      <c r="F9" s="435">
        <f t="shared" si="0"/>
        <v>33654.330708661422</v>
      </c>
      <c r="G9" s="436">
        <v>158300</v>
      </c>
      <c r="H9" s="448"/>
      <c r="I9" s="449"/>
      <c r="J9" s="449"/>
    </row>
    <row r="10" spans="1:12" x14ac:dyDescent="0.25">
      <c r="A10" s="431">
        <v>9</v>
      </c>
      <c r="B10" s="437" t="s">
        <v>149</v>
      </c>
      <c r="C10" s="434">
        <v>4</v>
      </c>
      <c r="D10" s="434" t="s">
        <v>187</v>
      </c>
      <c r="E10" s="435">
        <v>48000</v>
      </c>
      <c r="F10" s="435">
        <f t="shared" si="0"/>
        <v>12960</v>
      </c>
      <c r="G10" s="438">
        <f>E10*1.27</f>
        <v>60960</v>
      </c>
      <c r="H10" s="448"/>
      <c r="I10" s="449"/>
      <c r="J10" s="449"/>
    </row>
    <row r="11" spans="1:12" x14ac:dyDescent="0.25">
      <c r="A11" s="431">
        <v>10</v>
      </c>
      <c r="B11" s="432" t="s">
        <v>155</v>
      </c>
      <c r="C11" s="433">
        <v>1</v>
      </c>
      <c r="D11" s="434" t="s">
        <v>187</v>
      </c>
      <c r="E11" s="435">
        <f>G11/1.27</f>
        <v>409448.81889763777</v>
      </c>
      <c r="F11" s="435">
        <f t="shared" si="0"/>
        <v>110551.18110236223</v>
      </c>
      <c r="G11" s="436">
        <v>520000</v>
      </c>
      <c r="H11" s="448"/>
      <c r="I11" s="449"/>
      <c r="J11" s="449"/>
      <c r="K11" s="108">
        <f>SUM(G2:G11)</f>
        <v>3656220</v>
      </c>
      <c r="L11" s="98">
        <f>SUM(E2:E11)</f>
        <v>2878913.3858267721</v>
      </c>
    </row>
    <row r="12" spans="1:12" s="421" customFormat="1" ht="45" x14ac:dyDescent="0.25">
      <c r="A12" s="99">
        <v>11</v>
      </c>
      <c r="B12" s="100" t="s">
        <v>141</v>
      </c>
      <c r="C12" s="101">
        <v>1</v>
      </c>
      <c r="D12" s="101" t="s">
        <v>187</v>
      </c>
      <c r="E12" s="102">
        <v>47000000</v>
      </c>
      <c r="F12" s="102">
        <f t="shared" ref="F12" si="1">G12-E12</f>
        <v>12690000</v>
      </c>
      <c r="G12" s="103">
        <f>E12*1.27</f>
        <v>59690000</v>
      </c>
      <c r="H12" s="450" t="s">
        <v>375</v>
      </c>
      <c r="I12" s="451"/>
      <c r="J12" s="451"/>
    </row>
    <row r="13" spans="1:12" s="421" customFormat="1" x14ac:dyDescent="0.25">
      <c r="A13" s="99">
        <v>12</v>
      </c>
      <c r="B13" s="100" t="s">
        <v>142</v>
      </c>
      <c r="C13" s="101">
        <v>1</v>
      </c>
      <c r="D13" s="101" t="s">
        <v>189</v>
      </c>
      <c r="E13" s="102">
        <v>3870000</v>
      </c>
      <c r="F13" s="102">
        <f t="shared" ref="F13:F27" si="2">G13-E13</f>
        <v>1044900</v>
      </c>
      <c r="G13" s="103">
        <f>E13*1.27</f>
        <v>4914900</v>
      </c>
      <c r="H13" s="450"/>
      <c r="I13" s="451"/>
      <c r="J13" s="451"/>
    </row>
    <row r="14" spans="1:12" ht="30" x14ac:dyDescent="0.25">
      <c r="A14" s="99">
        <v>13</v>
      </c>
      <c r="B14" s="100" t="s">
        <v>159</v>
      </c>
      <c r="C14" s="101">
        <v>1</v>
      </c>
      <c r="D14" s="101" t="s">
        <v>189</v>
      </c>
      <c r="E14" s="102">
        <v>1250000</v>
      </c>
      <c r="F14" s="102">
        <f t="shared" si="2"/>
        <v>337500</v>
      </c>
      <c r="G14" s="103">
        <f>E14*1.27</f>
        <v>1587500</v>
      </c>
      <c r="H14" s="450"/>
      <c r="I14" s="451"/>
      <c r="J14" s="451"/>
      <c r="K14" s="421"/>
    </row>
    <row r="15" spans="1:12" ht="30" x14ac:dyDescent="0.25">
      <c r="A15" s="99">
        <v>14</v>
      </c>
      <c r="B15" s="100" t="s">
        <v>156</v>
      </c>
      <c r="C15" s="101">
        <v>1</v>
      </c>
      <c r="D15" s="101" t="s">
        <v>189</v>
      </c>
      <c r="E15" s="102">
        <v>950000</v>
      </c>
      <c r="F15" s="102">
        <f t="shared" si="2"/>
        <v>256500</v>
      </c>
      <c r="G15" s="103">
        <f>E15*1.27</f>
        <v>1206500</v>
      </c>
      <c r="H15" s="450"/>
      <c r="I15" s="451"/>
      <c r="J15" s="451"/>
    </row>
    <row r="16" spans="1:12" x14ac:dyDescent="0.25">
      <c r="A16" s="99">
        <v>15</v>
      </c>
      <c r="B16" s="104" t="s">
        <v>158</v>
      </c>
      <c r="C16" s="105">
        <v>1</v>
      </c>
      <c r="D16" s="101" t="s">
        <v>187</v>
      </c>
      <c r="E16" s="102">
        <f>G16/1.27</f>
        <v>1181102.3622047245</v>
      </c>
      <c r="F16" s="102">
        <f t="shared" si="2"/>
        <v>318897.63779527554</v>
      </c>
      <c r="G16" s="106">
        <v>1500000</v>
      </c>
      <c r="H16" s="450"/>
      <c r="I16" s="451"/>
      <c r="J16" s="451"/>
    </row>
    <row r="17" spans="1:11" x14ac:dyDescent="0.25">
      <c r="A17" s="99">
        <v>16</v>
      </c>
      <c r="B17" s="51" t="s">
        <v>172</v>
      </c>
      <c r="C17" s="107">
        <v>1</v>
      </c>
      <c r="D17" s="107" t="s">
        <v>189</v>
      </c>
      <c r="E17" s="2">
        <v>3970000</v>
      </c>
      <c r="F17" s="102">
        <f t="shared" si="2"/>
        <v>1071900</v>
      </c>
      <c r="G17" s="103">
        <f t="shared" ref="G17:G27" si="3">E17*1.27</f>
        <v>5041900</v>
      </c>
      <c r="H17" s="450"/>
      <c r="I17" s="451"/>
      <c r="J17" s="451"/>
    </row>
    <row r="18" spans="1:11" ht="30" x14ac:dyDescent="0.25">
      <c r="A18" s="99">
        <v>17</v>
      </c>
      <c r="B18" s="100" t="s">
        <v>157</v>
      </c>
      <c r="C18" s="101">
        <v>1</v>
      </c>
      <c r="D18" s="101" t="s">
        <v>189</v>
      </c>
      <c r="E18" s="102">
        <v>8250000</v>
      </c>
      <c r="F18" s="102">
        <f t="shared" si="2"/>
        <v>2227500</v>
      </c>
      <c r="G18" s="103">
        <f t="shared" si="3"/>
        <v>10477500</v>
      </c>
      <c r="H18" s="450"/>
      <c r="I18" s="451"/>
      <c r="J18" s="451"/>
    </row>
    <row r="19" spans="1:11" x14ac:dyDescent="0.25">
      <c r="A19" s="99">
        <v>18</v>
      </c>
      <c r="B19" s="51" t="s">
        <v>51</v>
      </c>
      <c r="C19" s="107">
        <v>1</v>
      </c>
      <c r="D19" s="107" t="s">
        <v>189</v>
      </c>
      <c r="E19" s="2">
        <v>2240000</v>
      </c>
      <c r="F19" s="102">
        <f t="shared" si="2"/>
        <v>604800</v>
      </c>
      <c r="G19" s="103">
        <f t="shared" si="3"/>
        <v>2844800</v>
      </c>
      <c r="H19" s="450"/>
      <c r="I19" s="451"/>
      <c r="J19" s="451"/>
    </row>
    <row r="20" spans="1:11" ht="30" x14ac:dyDescent="0.25">
      <c r="A20" s="99">
        <v>19</v>
      </c>
      <c r="B20" s="70" t="s">
        <v>176</v>
      </c>
      <c r="C20" s="101">
        <v>1</v>
      </c>
      <c r="D20" s="422" t="s">
        <v>189</v>
      </c>
      <c r="E20" s="76">
        <v>700000</v>
      </c>
      <c r="F20" s="102">
        <f t="shared" si="2"/>
        <v>189000</v>
      </c>
      <c r="G20" s="103">
        <f t="shared" si="3"/>
        <v>889000</v>
      </c>
      <c r="H20" s="450"/>
      <c r="I20" s="451"/>
      <c r="J20" s="451"/>
    </row>
    <row r="21" spans="1:11" x14ac:dyDescent="0.25">
      <c r="A21" s="99">
        <v>20</v>
      </c>
      <c r="B21" s="51" t="s">
        <v>174</v>
      </c>
      <c r="C21" s="101">
        <v>2</v>
      </c>
      <c r="D21" s="107" t="s">
        <v>187</v>
      </c>
      <c r="E21" s="2">
        <v>1100000</v>
      </c>
      <c r="F21" s="102">
        <f t="shared" si="2"/>
        <v>297000</v>
      </c>
      <c r="G21" s="103">
        <f t="shared" si="3"/>
        <v>1397000</v>
      </c>
      <c r="H21" s="450"/>
      <c r="I21" s="451"/>
      <c r="J21" s="451"/>
    </row>
    <row r="22" spans="1:11" x14ac:dyDescent="0.25">
      <c r="A22" s="99">
        <v>21</v>
      </c>
      <c r="B22" s="51" t="s">
        <v>175</v>
      </c>
      <c r="C22" s="101">
        <v>1</v>
      </c>
      <c r="D22" s="107" t="s">
        <v>189</v>
      </c>
      <c r="E22" s="2">
        <v>2700000</v>
      </c>
      <c r="F22" s="102">
        <f t="shared" si="2"/>
        <v>729000</v>
      </c>
      <c r="G22" s="103">
        <f t="shared" si="3"/>
        <v>3429000</v>
      </c>
      <c r="H22" s="450"/>
      <c r="I22" s="451"/>
      <c r="J22" s="451"/>
    </row>
    <row r="23" spans="1:11" ht="30" x14ac:dyDescent="0.25">
      <c r="A23" s="99">
        <v>22</v>
      </c>
      <c r="B23" s="70" t="s">
        <v>161</v>
      </c>
      <c r="C23" s="101">
        <v>1</v>
      </c>
      <c r="D23" s="101" t="s">
        <v>189</v>
      </c>
      <c r="E23" s="102">
        <v>8500000</v>
      </c>
      <c r="F23" s="102">
        <f t="shared" si="2"/>
        <v>2295000</v>
      </c>
      <c r="G23" s="103">
        <f t="shared" si="3"/>
        <v>10795000</v>
      </c>
      <c r="H23" s="450"/>
      <c r="I23" s="451"/>
      <c r="J23" s="451"/>
    </row>
    <row r="24" spans="1:11" x14ac:dyDescent="0.25">
      <c r="A24" s="99">
        <v>23</v>
      </c>
      <c r="B24" s="70" t="s">
        <v>162</v>
      </c>
      <c r="C24" s="101">
        <v>1</v>
      </c>
      <c r="D24" s="101" t="s">
        <v>187</v>
      </c>
      <c r="E24" s="102">
        <v>6500000</v>
      </c>
      <c r="F24" s="102">
        <f t="shared" si="2"/>
        <v>1755000</v>
      </c>
      <c r="G24" s="103">
        <f t="shared" si="3"/>
        <v>8255000</v>
      </c>
      <c r="H24" s="450"/>
      <c r="I24" s="451"/>
      <c r="J24" s="451"/>
    </row>
    <row r="25" spans="1:11" x14ac:dyDescent="0.25">
      <c r="A25" s="99">
        <v>24</v>
      </c>
      <c r="B25" s="70" t="s">
        <v>163</v>
      </c>
      <c r="C25" s="101">
        <v>1</v>
      </c>
      <c r="D25" s="101" t="s">
        <v>187</v>
      </c>
      <c r="E25" s="102">
        <v>2800000</v>
      </c>
      <c r="F25" s="102">
        <f t="shared" si="2"/>
        <v>756000</v>
      </c>
      <c r="G25" s="103">
        <f t="shared" si="3"/>
        <v>3556000</v>
      </c>
      <c r="H25" s="450"/>
      <c r="I25" s="451"/>
      <c r="J25" s="451"/>
    </row>
    <row r="26" spans="1:11" x14ac:dyDescent="0.25">
      <c r="A26" s="99">
        <v>25</v>
      </c>
      <c r="B26" s="70" t="s">
        <v>164</v>
      </c>
      <c r="C26" s="101">
        <v>1</v>
      </c>
      <c r="D26" s="101" t="s">
        <v>187</v>
      </c>
      <c r="E26" s="102">
        <v>5270000</v>
      </c>
      <c r="F26" s="102">
        <f t="shared" si="2"/>
        <v>1422900</v>
      </c>
      <c r="G26" s="103">
        <f t="shared" si="3"/>
        <v>6692900</v>
      </c>
      <c r="H26" s="450"/>
      <c r="I26" s="451"/>
      <c r="J26" s="451"/>
    </row>
    <row r="27" spans="1:11" ht="30.75" thickBot="1" x14ac:dyDescent="0.3">
      <c r="A27" s="423">
        <v>26</v>
      </c>
      <c r="B27" s="72" t="s">
        <v>190</v>
      </c>
      <c r="C27" s="109">
        <v>1</v>
      </c>
      <c r="D27" s="109" t="s">
        <v>189</v>
      </c>
      <c r="E27" s="110">
        <v>8500000</v>
      </c>
      <c r="F27" s="110">
        <f t="shared" si="2"/>
        <v>2295000</v>
      </c>
      <c r="G27" s="111">
        <f t="shared" si="3"/>
        <v>10795000</v>
      </c>
      <c r="H27" s="450"/>
      <c r="I27" s="451"/>
      <c r="J27" s="451"/>
      <c r="K27" s="108">
        <f>SUM(G12:G27)</f>
        <v>133072000</v>
      </c>
    </row>
    <row r="28" spans="1:11" x14ac:dyDescent="0.25">
      <c r="B28" s="112" t="s">
        <v>191</v>
      </c>
      <c r="E28" s="98">
        <f>SUM(E2:E27)</f>
        <v>107660015.7480315</v>
      </c>
      <c r="F28" s="98">
        <f>SUM(F2:F27)</f>
        <v>29068204.251968503</v>
      </c>
      <c r="G28" s="98">
        <f>SUM(G2:G27)</f>
        <v>136728220</v>
      </c>
    </row>
    <row r="29" spans="1:11" x14ac:dyDescent="0.25">
      <c r="K29" s="98">
        <f>SUM(K27,K11)</f>
        <v>136728220</v>
      </c>
    </row>
  </sheetData>
  <mergeCells count="2">
    <mergeCell ref="H2:J11"/>
    <mergeCell ref="H12:J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997"/>
  <sheetViews>
    <sheetView workbookViewId="0">
      <selection activeCell="H35" sqref="H35"/>
    </sheetView>
  </sheetViews>
  <sheetFormatPr defaultColWidth="15.140625" defaultRowHeight="15" x14ac:dyDescent="0.25"/>
  <cols>
    <col min="1" max="1" width="8.5703125" style="114" customWidth="1"/>
    <col min="2" max="2" width="10.28515625" style="114" customWidth="1"/>
    <col min="3" max="3" width="10.85546875" style="114" customWidth="1"/>
    <col min="4" max="4" width="13.7109375" style="114" customWidth="1"/>
    <col min="5" max="5" width="16.42578125" style="114" customWidth="1"/>
    <col min="6" max="6" width="14.140625" style="114" customWidth="1"/>
    <col min="7" max="7" width="18.28515625" style="114" bestFit="1" customWidth="1"/>
    <col min="8" max="8" width="14.7109375" style="114" bestFit="1" customWidth="1"/>
    <col min="9" max="9" width="15.5703125" style="114" bestFit="1" customWidth="1"/>
    <col min="10" max="10" width="16.42578125" style="114" customWidth="1"/>
    <col min="11" max="11" width="12.7109375" style="114" customWidth="1"/>
    <col min="12" max="12" width="15.5703125" style="114" customWidth="1"/>
    <col min="13" max="20" width="7.5703125" style="114" customWidth="1"/>
    <col min="21" max="16384" width="15.140625" style="114"/>
  </cols>
  <sheetData>
    <row r="1" spans="1:54" x14ac:dyDescent="0.25">
      <c r="A1" s="113"/>
      <c r="B1" s="113"/>
      <c r="C1" s="113"/>
      <c r="D1" s="113" t="s">
        <v>192</v>
      </c>
      <c r="E1" s="113"/>
      <c r="F1" s="113"/>
      <c r="G1" s="115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</row>
    <row r="2" spans="1:54" ht="15.75" customHeight="1" thickBot="1" x14ac:dyDescent="0.3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</row>
    <row r="3" spans="1:54" ht="15.75" customHeight="1" thickBot="1" x14ac:dyDescent="0.3">
      <c r="A3" s="113"/>
      <c r="B3" s="458" t="s">
        <v>77</v>
      </c>
      <c r="C3" s="459"/>
      <c r="D3" s="460"/>
      <c r="E3" s="461"/>
      <c r="F3" s="462" t="s">
        <v>193</v>
      </c>
      <c r="G3" s="463"/>
      <c r="H3" s="116" t="s">
        <v>194</v>
      </c>
      <c r="I3" s="117" t="s">
        <v>195</v>
      </c>
      <c r="J3" s="464" t="s">
        <v>196</v>
      </c>
      <c r="K3" s="113"/>
      <c r="L3" s="113"/>
      <c r="M3" s="113"/>
      <c r="N3" s="113"/>
      <c r="O3" s="113"/>
      <c r="P3" s="113"/>
      <c r="Q3" s="113"/>
      <c r="R3" s="113"/>
      <c r="S3" s="113"/>
      <c r="T3" s="113"/>
    </row>
    <row r="4" spans="1:54" ht="15.75" customHeight="1" thickBot="1" x14ac:dyDescent="0.3">
      <c r="A4" s="113"/>
      <c r="B4" s="118" t="s">
        <v>197</v>
      </c>
      <c r="C4" s="119" t="s">
        <v>198</v>
      </c>
      <c r="D4" s="120" t="s">
        <v>199</v>
      </c>
      <c r="E4" s="121" t="s">
        <v>200</v>
      </c>
      <c r="F4" s="122" t="s">
        <v>199</v>
      </c>
      <c r="G4" s="123" t="s">
        <v>200</v>
      </c>
      <c r="H4" s="124"/>
      <c r="I4" s="124"/>
      <c r="J4" s="46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</row>
    <row r="5" spans="1:54" s="132" customFormat="1" ht="15.75" customHeight="1" x14ac:dyDescent="0.25">
      <c r="A5" s="127" t="s">
        <v>201</v>
      </c>
      <c r="B5" s="128">
        <f>+((3*389)*20)+20</f>
        <v>23360</v>
      </c>
      <c r="C5" s="128">
        <f>+((3*283)*20)+20</f>
        <v>17000</v>
      </c>
      <c r="D5" s="128">
        <f t="shared" ref="D5:E5" si="0">+(D13/21)*20</f>
        <v>921561.90476190473</v>
      </c>
      <c r="E5" s="128">
        <f t="shared" si="0"/>
        <v>331390.47619047621</v>
      </c>
      <c r="F5" s="128">
        <f>+(F13/21)*20</f>
        <v>821974.28571428568</v>
      </c>
      <c r="G5" s="128">
        <f>+(G13/21)*20</f>
        <v>2002238.0952380951</v>
      </c>
      <c r="H5" s="129">
        <v>1269768.45</v>
      </c>
      <c r="I5" s="129">
        <v>2874968.8259999999</v>
      </c>
      <c r="J5" s="130">
        <v>4015296.7</v>
      </c>
      <c r="K5" s="131"/>
      <c r="L5" s="125"/>
      <c r="M5" s="125"/>
      <c r="N5" s="125"/>
      <c r="O5" s="125"/>
      <c r="P5" s="125"/>
      <c r="Q5" s="125"/>
      <c r="R5" s="125"/>
      <c r="S5" s="125"/>
      <c r="T5" s="125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</row>
    <row r="6" spans="1:54" s="136" customFormat="1" ht="15.75" customHeight="1" x14ac:dyDescent="0.25">
      <c r="A6" s="133" t="s">
        <v>202</v>
      </c>
      <c r="B6" s="134">
        <f>+(4*389)*19+19</f>
        <v>29583</v>
      </c>
      <c r="C6" s="134">
        <f>+(4*283)*19+19</f>
        <v>21527</v>
      </c>
      <c r="D6" s="134">
        <f>+D13/21*19</f>
        <v>875483.80952380947</v>
      </c>
      <c r="E6" s="134">
        <f>+E13/21*19</f>
        <v>314820.95238095237</v>
      </c>
      <c r="F6" s="134">
        <f t="shared" ref="F6:G6" si="1">+F13/21*19</f>
        <v>780875.57142857136</v>
      </c>
      <c r="G6" s="134">
        <f t="shared" si="1"/>
        <v>1902126.1904761905</v>
      </c>
      <c r="H6" s="129">
        <v>1269768.45</v>
      </c>
      <c r="I6" s="129">
        <v>2874968.8259999999</v>
      </c>
      <c r="J6" s="135">
        <v>2751005.41</v>
      </c>
      <c r="K6" s="131"/>
      <c r="L6" s="125"/>
      <c r="M6" s="125"/>
      <c r="N6" s="125"/>
      <c r="O6" s="125"/>
      <c r="P6" s="125"/>
      <c r="Q6" s="125"/>
      <c r="R6" s="125"/>
      <c r="S6" s="125"/>
      <c r="T6" s="125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</row>
    <row r="7" spans="1:54" s="132" customFormat="1" ht="15.75" customHeight="1" x14ac:dyDescent="0.25">
      <c r="A7" s="137" t="s">
        <v>203</v>
      </c>
      <c r="B7" s="134">
        <f>+(3*389)*22+22</f>
        <v>25696</v>
      </c>
      <c r="C7" s="134">
        <f>+(3*283)*22+22</f>
        <v>18700</v>
      </c>
      <c r="D7" s="134">
        <f>+D13/21*22</f>
        <v>1013718.0952380951</v>
      </c>
      <c r="E7" s="134">
        <f>+E13/21*22</f>
        <v>364529.52380952379</v>
      </c>
      <c r="F7" s="134">
        <f t="shared" ref="F7:G7" si="2">+F13/21*22</f>
        <v>904171.7142857142</v>
      </c>
      <c r="G7" s="134">
        <f t="shared" si="2"/>
        <v>2202461.9047619049</v>
      </c>
      <c r="H7" s="129">
        <v>1269768.45</v>
      </c>
      <c r="I7" s="129">
        <v>2874968.8259999999</v>
      </c>
      <c r="J7" s="135">
        <v>3493648.27</v>
      </c>
      <c r="K7" s="131"/>
      <c r="L7" s="125"/>
      <c r="M7" s="125"/>
      <c r="N7" s="125"/>
      <c r="O7" s="125"/>
      <c r="P7" s="125"/>
      <c r="Q7" s="125"/>
      <c r="R7" s="125"/>
      <c r="S7" s="125"/>
      <c r="T7" s="125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</row>
    <row r="8" spans="1:54" s="132" customFormat="1" ht="15.75" customHeight="1" x14ac:dyDescent="0.25">
      <c r="A8" s="127" t="s">
        <v>204</v>
      </c>
      <c r="B8" s="134">
        <f>+(4*389)*18+18</f>
        <v>28026</v>
      </c>
      <c r="C8" s="134">
        <f>+(4*283)*18+18</f>
        <v>20394</v>
      </c>
      <c r="D8" s="134">
        <f>+D13/21*21</f>
        <v>967640</v>
      </c>
      <c r="E8" s="134">
        <f>+E13/21*21</f>
        <v>347960</v>
      </c>
      <c r="F8" s="134">
        <f t="shared" ref="F8:G8" si="3">+F13/21*21</f>
        <v>863072.99999999988</v>
      </c>
      <c r="G8" s="134">
        <f t="shared" si="3"/>
        <v>2102350</v>
      </c>
      <c r="H8" s="129">
        <v>1269768.45</v>
      </c>
      <c r="I8" s="129">
        <v>2874968.8259999999</v>
      </c>
      <c r="J8" s="135">
        <v>2493161.69</v>
      </c>
      <c r="K8" s="131"/>
      <c r="L8" s="125"/>
      <c r="M8" s="125"/>
      <c r="N8" s="125"/>
      <c r="O8" s="125"/>
      <c r="P8" s="125"/>
      <c r="Q8" s="125"/>
      <c r="R8" s="125"/>
      <c r="S8" s="125"/>
      <c r="T8" s="125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</row>
    <row r="9" spans="1:54" s="132" customFormat="1" ht="15.75" customHeight="1" x14ac:dyDescent="0.25">
      <c r="A9" s="127" t="s">
        <v>205</v>
      </c>
      <c r="B9" s="134">
        <f>+(4*389)*19+19</f>
        <v>29583</v>
      </c>
      <c r="C9" s="134">
        <f>+(4*283)*19+19</f>
        <v>21527</v>
      </c>
      <c r="D9" s="134">
        <f>+D13/21*19</f>
        <v>875483.80952380947</v>
      </c>
      <c r="E9" s="134">
        <f>+E13/21*19</f>
        <v>314820.95238095237</v>
      </c>
      <c r="F9" s="134">
        <f t="shared" ref="F9:G9" si="4">+F13/21*19</f>
        <v>780875.57142857136</v>
      </c>
      <c r="G9" s="134">
        <f t="shared" si="4"/>
        <v>1902126.1904761905</v>
      </c>
      <c r="H9" s="129">
        <v>1269768.45</v>
      </c>
      <c r="I9" s="129">
        <v>2874968.8259999999</v>
      </c>
      <c r="J9" s="138">
        <v>3122148.06</v>
      </c>
      <c r="K9" s="139"/>
      <c r="L9" s="125"/>
      <c r="M9" s="125"/>
      <c r="N9" s="125"/>
      <c r="O9" s="125"/>
      <c r="P9" s="125"/>
      <c r="Q9" s="125"/>
      <c r="R9" s="125"/>
      <c r="S9" s="125"/>
      <c r="T9" s="125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</row>
    <row r="10" spans="1:54" s="132" customFormat="1" ht="15.75" customHeight="1" x14ac:dyDescent="0.25">
      <c r="A10" s="127" t="s">
        <v>206</v>
      </c>
      <c r="B10" s="134">
        <f>+(3*389)*20+15</f>
        <v>23355</v>
      </c>
      <c r="C10" s="134">
        <f>+(3*283)*20+15</f>
        <v>16995</v>
      </c>
      <c r="D10" s="140">
        <f>+D13/21*20</f>
        <v>921561.90476190473</v>
      </c>
      <c r="E10" s="140">
        <f>+E13/21*20</f>
        <v>331390.47619047621</v>
      </c>
      <c r="F10" s="140">
        <f t="shared" ref="F10:G10" si="5">+F13/21*20</f>
        <v>821974.28571428568</v>
      </c>
      <c r="G10" s="140">
        <f t="shared" si="5"/>
        <v>2002238.0952380951</v>
      </c>
      <c r="H10" s="129">
        <v>1269768.45</v>
      </c>
      <c r="I10" s="129">
        <v>2874968.8259999999</v>
      </c>
      <c r="J10" s="135">
        <v>1887354.97</v>
      </c>
      <c r="K10" s="139"/>
      <c r="L10" s="125"/>
      <c r="M10" s="125"/>
      <c r="N10" s="125"/>
      <c r="O10" s="125"/>
      <c r="P10" s="125"/>
      <c r="Q10" s="125"/>
      <c r="R10" s="125"/>
      <c r="S10" s="125"/>
      <c r="T10" s="125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</row>
    <row r="11" spans="1:54" s="132" customFormat="1" ht="15.75" customHeight="1" x14ac:dyDescent="0.25">
      <c r="A11" s="127" t="s">
        <v>207</v>
      </c>
      <c r="B11" s="134">
        <f>+(3*389)*12</f>
        <v>14004</v>
      </c>
      <c r="C11" s="134">
        <f>+(3*283)*12</f>
        <v>10188</v>
      </c>
      <c r="D11" s="141">
        <v>199280</v>
      </c>
      <c r="E11" s="142">
        <v>83660</v>
      </c>
      <c r="F11" s="143">
        <v>0</v>
      </c>
      <c r="G11" s="144">
        <v>0</v>
      </c>
      <c r="H11" s="129">
        <v>1269768.45</v>
      </c>
      <c r="I11" s="129">
        <v>2874968.8259999999</v>
      </c>
      <c r="J11" s="135">
        <v>621840</v>
      </c>
      <c r="K11" s="139"/>
      <c r="L11" s="125"/>
      <c r="M11" s="125"/>
      <c r="N11" s="125"/>
      <c r="O11" s="125"/>
      <c r="P11" s="125"/>
      <c r="Q11" s="125"/>
      <c r="R11" s="125"/>
      <c r="S11" s="125"/>
      <c r="T11" s="125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</row>
    <row r="12" spans="1:54" s="132" customFormat="1" ht="15.75" customHeight="1" x14ac:dyDescent="0.25">
      <c r="A12" s="145" t="s">
        <v>208</v>
      </c>
      <c r="B12" s="134">
        <f>+(3*389)*10</f>
        <v>11670</v>
      </c>
      <c r="C12" s="134">
        <f>+(3*283)*10</f>
        <v>8490</v>
      </c>
      <c r="D12" s="146">
        <v>150400</v>
      </c>
      <c r="E12" s="147">
        <v>41360</v>
      </c>
      <c r="F12" s="143">
        <v>0</v>
      </c>
      <c r="G12" s="144">
        <v>0</v>
      </c>
      <c r="H12" s="129">
        <v>1269768.45</v>
      </c>
      <c r="I12" s="129">
        <v>2874968.8259999999</v>
      </c>
      <c r="J12" s="138">
        <v>1477911.49</v>
      </c>
      <c r="K12" s="148"/>
      <c r="L12" s="149"/>
      <c r="M12" s="149"/>
      <c r="N12" s="149"/>
      <c r="O12" s="149"/>
      <c r="P12" s="149"/>
      <c r="Q12" s="149"/>
      <c r="R12" s="149"/>
      <c r="S12" s="149"/>
      <c r="T12" s="149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</row>
    <row r="13" spans="1:54" s="132" customFormat="1" ht="15.75" customHeight="1" x14ac:dyDescent="0.25">
      <c r="A13" s="150" t="s">
        <v>209</v>
      </c>
      <c r="B13" s="134">
        <f>+(4*389)*20+22</f>
        <v>31142</v>
      </c>
      <c r="C13" s="134">
        <f>+(4*283)*20+22</f>
        <v>22662</v>
      </c>
      <c r="D13" s="151">
        <v>967640</v>
      </c>
      <c r="E13" s="152">
        <v>347960</v>
      </c>
      <c r="F13" s="153">
        <v>863073</v>
      </c>
      <c r="G13" s="152">
        <v>2102350</v>
      </c>
      <c r="H13" s="129">
        <v>1269768.45</v>
      </c>
      <c r="I13" s="129">
        <v>2874968.8259999999</v>
      </c>
      <c r="J13" s="154">
        <v>3026720.37</v>
      </c>
      <c r="K13" s="139"/>
      <c r="L13" s="149"/>
      <c r="M13" s="149"/>
      <c r="N13" s="149"/>
      <c r="O13" s="149"/>
      <c r="P13" s="149"/>
      <c r="Q13" s="149"/>
      <c r="R13" s="149"/>
      <c r="S13" s="149"/>
      <c r="T13" s="149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</row>
    <row r="14" spans="1:54" s="132" customFormat="1" ht="15.75" customHeight="1" x14ac:dyDescent="0.25">
      <c r="A14" s="155" t="s">
        <v>210</v>
      </c>
      <c r="B14" s="134">
        <f>+(4*389)*20+17</f>
        <v>31137</v>
      </c>
      <c r="C14" s="134">
        <f>+(4*283)*20+17</f>
        <v>22657</v>
      </c>
      <c r="D14" s="156">
        <v>826110</v>
      </c>
      <c r="E14" s="156">
        <v>319790</v>
      </c>
      <c r="F14" s="156">
        <v>668130</v>
      </c>
      <c r="G14" s="156">
        <v>1870488</v>
      </c>
      <c r="H14" s="129">
        <v>1269768.45</v>
      </c>
      <c r="I14" s="129">
        <v>2874968.8259999999</v>
      </c>
      <c r="J14" s="154">
        <v>2951993</v>
      </c>
      <c r="K14" s="139"/>
      <c r="L14" s="157"/>
      <c r="M14" s="157"/>
      <c r="N14" s="157"/>
      <c r="O14" s="157"/>
      <c r="P14" s="157"/>
      <c r="Q14" s="157"/>
      <c r="R14" s="157"/>
      <c r="S14" s="157"/>
      <c r="T14" s="157"/>
    </row>
    <row r="15" spans="1:54" s="132" customFormat="1" ht="15.75" customHeight="1" x14ac:dyDescent="0.25">
      <c r="A15" s="145" t="s">
        <v>211</v>
      </c>
      <c r="B15" s="134">
        <f>+(4*389)*20+20</f>
        <v>31140</v>
      </c>
      <c r="C15" s="134">
        <f>+(4*283)*20+20</f>
        <v>22660</v>
      </c>
      <c r="D15" s="156">
        <v>960090</v>
      </c>
      <c r="E15" s="156">
        <v>392880</v>
      </c>
      <c r="F15" s="156">
        <v>769570</v>
      </c>
      <c r="G15" s="156">
        <v>1860035</v>
      </c>
      <c r="H15" s="129">
        <v>1269768.45</v>
      </c>
      <c r="I15" s="129">
        <v>2874968.8259999999</v>
      </c>
      <c r="J15" s="154">
        <v>2913925.48</v>
      </c>
      <c r="K15" s="158"/>
      <c r="L15" s="157"/>
      <c r="M15" s="157"/>
      <c r="N15" s="157"/>
      <c r="O15" s="157"/>
      <c r="P15" s="157"/>
      <c r="Q15" s="157"/>
      <c r="R15" s="157"/>
      <c r="S15" s="157"/>
      <c r="T15" s="157"/>
    </row>
    <row r="16" spans="1:54" s="132" customFormat="1" ht="15.75" customHeight="1" thickBot="1" x14ac:dyDescent="0.3">
      <c r="A16" s="159" t="s">
        <v>212</v>
      </c>
      <c r="B16" s="134">
        <f>+(3*389)*15+15</f>
        <v>17520</v>
      </c>
      <c r="C16" s="134">
        <f>+(3*283)*15+15</f>
        <v>12750</v>
      </c>
      <c r="D16" s="160">
        <v>691660</v>
      </c>
      <c r="E16" s="160">
        <v>278490</v>
      </c>
      <c r="F16" s="160">
        <v>604095</v>
      </c>
      <c r="G16" s="160">
        <v>1563158</v>
      </c>
      <c r="H16" s="129">
        <v>1269768.45</v>
      </c>
      <c r="I16" s="129">
        <v>2874968.8259999999</v>
      </c>
      <c r="J16" s="161">
        <v>2784351</v>
      </c>
      <c r="K16" s="162"/>
      <c r="L16" s="157"/>
      <c r="M16" s="157"/>
      <c r="N16" s="157"/>
      <c r="O16" s="157"/>
      <c r="P16" s="157"/>
      <c r="Q16" s="157"/>
      <c r="R16" s="157"/>
      <c r="S16" s="157"/>
      <c r="T16" s="157"/>
    </row>
    <row r="17" spans="1:20" s="168" customFormat="1" ht="17.25" customHeight="1" thickBot="1" x14ac:dyDescent="0.3">
      <c r="A17" s="163" t="s">
        <v>213</v>
      </c>
      <c r="B17" s="164">
        <f>SUM(B5:B16)</f>
        <v>296216</v>
      </c>
      <c r="C17" s="164">
        <f t="shared" ref="C17:G17" si="6">SUM(C5:C16)</f>
        <v>215550</v>
      </c>
      <c r="D17" s="164">
        <f t="shared" si="6"/>
        <v>9370629.5238095224</v>
      </c>
      <c r="E17" s="164">
        <f t="shared" si="6"/>
        <v>3469052.3809523811</v>
      </c>
      <c r="F17" s="164">
        <f t="shared" si="6"/>
        <v>7877812.4285714282</v>
      </c>
      <c r="G17" s="164">
        <f t="shared" si="6"/>
        <v>19509571.476190478</v>
      </c>
      <c r="H17" s="164">
        <f>SUM(H5:H16)</f>
        <v>15237221.399999997</v>
      </c>
      <c r="I17" s="164">
        <f>SUM(I5:I16)</f>
        <v>34499625.912000008</v>
      </c>
      <c r="J17" s="165">
        <v>740000</v>
      </c>
      <c r="K17" s="162"/>
      <c r="L17" s="166"/>
      <c r="M17" s="167"/>
      <c r="N17" s="167"/>
      <c r="O17" s="167"/>
      <c r="P17" s="167"/>
      <c r="Q17" s="167"/>
      <c r="R17" s="167"/>
      <c r="S17" s="167"/>
      <c r="T17" s="167"/>
    </row>
    <row r="18" spans="1:20" ht="30.75" customHeight="1" thickBot="1" x14ac:dyDescent="0.35">
      <c r="A18" s="169" t="s">
        <v>214</v>
      </c>
      <c r="B18" s="170">
        <f>+B17/1.27</f>
        <v>233240.94488188977</v>
      </c>
      <c r="C18" s="171">
        <f>+C17/1.27</f>
        <v>169724.40944881889</v>
      </c>
      <c r="D18" s="466">
        <f>+(D17+E17)/1.27</f>
        <v>10109985.751781026</v>
      </c>
      <c r="E18" s="467"/>
      <c r="F18" s="172">
        <f>+F17/1.27</f>
        <v>6203001.9122609673</v>
      </c>
      <c r="G18" s="172">
        <f>+G17/1.27</f>
        <v>15361867.304086991</v>
      </c>
      <c r="H18" s="173">
        <f>+H17/1.27</f>
        <v>11997812.12598425</v>
      </c>
      <c r="I18" s="174">
        <f>+I17/1.27</f>
        <v>27165059.773228351</v>
      </c>
      <c r="J18" s="175">
        <f>SUM(J5:J17)</f>
        <v>32279356.440000001</v>
      </c>
      <c r="K18" s="176"/>
      <c r="L18" s="113"/>
      <c r="M18" s="113"/>
      <c r="N18" s="113"/>
      <c r="O18" s="113"/>
      <c r="P18" s="113"/>
      <c r="Q18" s="113"/>
      <c r="R18" s="113"/>
      <c r="S18" s="113"/>
      <c r="T18" s="113"/>
    </row>
    <row r="19" spans="1:20" ht="15.75" customHeight="1" x14ac:dyDescent="0.25">
      <c r="A19" s="113"/>
      <c r="B19" s="177"/>
      <c r="C19" s="178"/>
      <c r="D19" s="179"/>
      <c r="E19" s="180"/>
      <c r="F19" s="468">
        <f>+F18+G18</f>
        <v>21564869.216347959</v>
      </c>
      <c r="G19" s="469"/>
      <c r="H19" s="470"/>
      <c r="I19" s="470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</row>
    <row r="20" spans="1:20" x14ac:dyDescent="0.25">
      <c r="A20" s="113"/>
      <c r="B20" s="452"/>
      <c r="C20" s="181"/>
      <c r="D20" s="182"/>
      <c r="E20" s="183"/>
      <c r="F20" s="184"/>
      <c r="G20" s="185" t="s">
        <v>215</v>
      </c>
      <c r="H20" s="166">
        <f>+B18+C18+D18+F18+G18+H18+I18</f>
        <v>71240692.221672297</v>
      </c>
      <c r="I20" s="167" t="s">
        <v>216</v>
      </c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</row>
    <row r="21" spans="1:20" x14ac:dyDescent="0.25">
      <c r="A21" s="113"/>
      <c r="B21" s="452"/>
      <c r="C21" s="181"/>
      <c r="D21" s="186"/>
      <c r="E21" s="186"/>
      <c r="F21" s="113"/>
      <c r="G21" s="187" t="s">
        <v>217</v>
      </c>
      <c r="H21" s="188">
        <f>+H62</f>
        <v>8605211.2860892378</v>
      </c>
      <c r="I21" s="189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</row>
    <row r="22" spans="1:20" x14ac:dyDescent="0.25">
      <c r="A22" s="113"/>
      <c r="B22" s="190"/>
      <c r="C22" s="181"/>
      <c r="D22" s="186"/>
      <c r="E22" s="186"/>
      <c r="F22" s="113"/>
      <c r="G22" s="187" t="s">
        <v>218</v>
      </c>
      <c r="H22" s="191">
        <f>+B53</f>
        <v>101940.94488188977</v>
      </c>
      <c r="I22" s="189"/>
      <c r="J22" s="113"/>
      <c r="K22" s="113"/>
      <c r="L22" s="186"/>
      <c r="M22" s="113"/>
      <c r="N22" s="113"/>
      <c r="O22" s="113"/>
      <c r="P22" s="113"/>
      <c r="Q22" s="113"/>
      <c r="R22" s="113"/>
      <c r="S22" s="113"/>
      <c r="T22" s="113"/>
    </row>
    <row r="23" spans="1:20" x14ac:dyDescent="0.25">
      <c r="A23" s="192"/>
      <c r="B23" s="453"/>
      <c r="C23" s="192"/>
      <c r="D23" s="193"/>
      <c r="E23" s="194"/>
      <c r="F23" s="192"/>
      <c r="G23" s="187" t="s">
        <v>219</v>
      </c>
      <c r="H23" s="195">
        <f>SUM(H20:H22)</f>
        <v>79947844.452643424</v>
      </c>
      <c r="I23" s="192"/>
      <c r="J23" s="196"/>
      <c r="K23" s="113"/>
      <c r="L23" s="113"/>
      <c r="M23" s="113"/>
      <c r="N23" s="113"/>
      <c r="O23" s="113"/>
      <c r="P23" s="113"/>
      <c r="Q23" s="113"/>
      <c r="R23" s="113"/>
      <c r="S23" s="113"/>
      <c r="T23" s="113"/>
    </row>
    <row r="24" spans="1:20" x14ac:dyDescent="0.25">
      <c r="A24" s="197"/>
      <c r="B24" s="454"/>
      <c r="C24" s="197"/>
      <c r="D24" s="198"/>
      <c r="E24" s="199"/>
      <c r="F24" s="197"/>
      <c r="G24" s="197"/>
      <c r="H24" s="200">
        <f>+H23+G18</f>
        <v>95309711.756730407</v>
      </c>
      <c r="I24" s="197"/>
      <c r="J24" s="197"/>
      <c r="K24" s="113"/>
      <c r="L24" s="113"/>
      <c r="M24" s="113"/>
      <c r="N24" s="113"/>
      <c r="O24" s="113"/>
      <c r="P24" s="113"/>
      <c r="Q24" s="113"/>
      <c r="R24" s="113"/>
      <c r="S24" s="113"/>
      <c r="T24" s="113"/>
    </row>
    <row r="25" spans="1:20" x14ac:dyDescent="0.25">
      <c r="A25" s="113"/>
      <c r="B25" s="113"/>
      <c r="C25" s="113"/>
      <c r="D25" s="115"/>
      <c r="E25" s="113"/>
      <c r="F25" s="113"/>
      <c r="G25" s="113"/>
      <c r="H25" s="186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</row>
    <row r="26" spans="1:20" x14ac:dyDescent="0.2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</row>
    <row r="27" spans="1:20" ht="15.75" thickBot="1" x14ac:dyDescent="0.3">
      <c r="A27" s="115"/>
      <c r="B27" s="201"/>
      <c r="C27" s="115"/>
      <c r="D27" s="115"/>
      <c r="E27" s="201"/>
      <c r="F27" s="115"/>
      <c r="G27" s="115" t="s">
        <v>220</v>
      </c>
      <c r="H27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</row>
    <row r="28" spans="1:20" ht="15.75" thickBot="1" x14ac:dyDescent="0.3">
      <c r="A28"/>
      <c r="B28" s="201"/>
      <c r="C28" s="201"/>
      <c r="D28"/>
      <c r="E28" s="201"/>
      <c r="F28" s="201"/>
      <c r="G28" s="202" t="s">
        <v>221</v>
      </c>
      <c r="H28" s="203" t="s">
        <v>236</v>
      </c>
      <c r="I28" s="113"/>
      <c r="J28" s="201"/>
      <c r="K28" s="201"/>
      <c r="L28" s="113"/>
      <c r="M28" s="113"/>
      <c r="N28" s="113"/>
      <c r="O28" s="113"/>
      <c r="P28" s="113"/>
      <c r="Q28" s="113"/>
      <c r="R28" s="113"/>
      <c r="S28" s="113"/>
      <c r="T28" s="113"/>
    </row>
    <row r="29" spans="1:20" x14ac:dyDescent="0.25">
      <c r="A29" s="204"/>
      <c r="B29" s="205"/>
      <c r="C29" s="204"/>
      <c r="D29" s="204"/>
      <c r="E29" s="205"/>
      <c r="F29" s="204" t="s">
        <v>201</v>
      </c>
      <c r="G29" s="206">
        <f>+G37/21*20</f>
        <v>913.33333333333326</v>
      </c>
      <c r="H29" s="207"/>
      <c r="I29" s="113"/>
      <c r="J29" s="205"/>
      <c r="K29" s="207"/>
      <c r="L29" s="113"/>
      <c r="M29" s="113"/>
      <c r="N29" s="113"/>
      <c r="O29" s="113"/>
      <c r="P29" s="113"/>
      <c r="Q29" s="113"/>
      <c r="R29" s="113"/>
      <c r="S29" s="113"/>
      <c r="T29" s="113"/>
    </row>
    <row r="30" spans="1:20" x14ac:dyDescent="0.25">
      <c r="A30" s="204"/>
      <c r="B30" s="205"/>
      <c r="C30" s="204"/>
      <c r="D30" s="204"/>
      <c r="E30" s="205"/>
      <c r="F30" s="204" t="s">
        <v>202</v>
      </c>
      <c r="G30" s="208">
        <f>+G37/21*19</f>
        <v>867.66666666666663</v>
      </c>
      <c r="H30" s="207"/>
      <c r="I30" s="113"/>
      <c r="J30" s="205"/>
      <c r="K30" s="207"/>
      <c r="L30" s="113"/>
      <c r="M30" s="113"/>
      <c r="N30" s="113"/>
      <c r="O30" s="113"/>
      <c r="P30" s="113"/>
      <c r="Q30" s="113"/>
      <c r="R30" s="113"/>
      <c r="S30" s="113"/>
      <c r="T30" s="113"/>
    </row>
    <row r="31" spans="1:20" x14ac:dyDescent="0.25">
      <c r="A31" s="204"/>
      <c r="B31" s="205"/>
      <c r="C31" s="204"/>
      <c r="D31" s="204"/>
      <c r="E31" s="205"/>
      <c r="F31" s="204" t="s">
        <v>203</v>
      </c>
      <c r="G31" s="208">
        <f>+G37/21*22</f>
        <v>1004.6666666666666</v>
      </c>
      <c r="H31" s="207"/>
      <c r="I31" s="113"/>
      <c r="J31" s="205"/>
      <c r="K31" s="207"/>
      <c r="L31" s="113"/>
      <c r="M31" s="113"/>
      <c r="N31" s="113"/>
      <c r="O31" s="113"/>
      <c r="P31" s="113"/>
      <c r="Q31" s="113"/>
      <c r="R31" s="113"/>
      <c r="S31" s="113"/>
      <c r="T31" s="113"/>
    </row>
    <row r="32" spans="1:20" x14ac:dyDescent="0.25">
      <c r="A32" s="204"/>
      <c r="B32" s="205"/>
      <c r="C32" s="204"/>
      <c r="D32" s="204"/>
      <c r="E32" s="205"/>
      <c r="F32" s="204" t="s">
        <v>204</v>
      </c>
      <c r="G32" s="208">
        <f>+G37/21*21</f>
        <v>959</v>
      </c>
      <c r="H32" s="207"/>
      <c r="I32" s="113"/>
      <c r="J32" s="205"/>
      <c r="K32" s="207"/>
      <c r="L32" s="113"/>
      <c r="M32" s="113"/>
      <c r="N32" s="113"/>
      <c r="O32" s="113"/>
      <c r="P32" s="113"/>
      <c r="Q32" s="113"/>
      <c r="R32" s="113"/>
      <c r="S32" s="113"/>
      <c r="T32" s="113"/>
    </row>
    <row r="33" spans="1:20" x14ac:dyDescent="0.25">
      <c r="A33" s="204"/>
      <c r="B33" s="205"/>
      <c r="C33" s="204"/>
      <c r="D33" s="204"/>
      <c r="E33" s="205"/>
      <c r="F33" s="204" t="s">
        <v>205</v>
      </c>
      <c r="G33" s="208">
        <f>+G37/21*19</f>
        <v>867.66666666666663</v>
      </c>
      <c r="H33" s="207"/>
      <c r="I33" s="113"/>
      <c r="J33" s="205"/>
      <c r="K33" s="207"/>
      <c r="L33" s="113"/>
      <c r="M33" s="113"/>
      <c r="N33" s="113"/>
      <c r="O33" s="113"/>
      <c r="P33" s="113"/>
      <c r="Q33" s="113"/>
      <c r="R33" s="113"/>
      <c r="S33" s="113"/>
      <c r="T33" s="113"/>
    </row>
    <row r="34" spans="1:20" x14ac:dyDescent="0.25">
      <c r="A34" s="204"/>
      <c r="B34" s="205"/>
      <c r="C34" s="204"/>
      <c r="D34" s="204"/>
      <c r="E34" s="205"/>
      <c r="F34" s="204" t="s">
        <v>206</v>
      </c>
      <c r="G34" s="208">
        <f>+G37/21*20</f>
        <v>913.33333333333326</v>
      </c>
      <c r="H34" s="207"/>
      <c r="I34" s="113"/>
      <c r="J34" s="205"/>
      <c r="K34" s="207"/>
      <c r="L34" s="113"/>
      <c r="M34" s="113"/>
      <c r="N34" s="113"/>
      <c r="O34" s="113"/>
      <c r="P34" s="113"/>
      <c r="Q34" s="113"/>
      <c r="R34" s="113"/>
      <c r="S34" s="113"/>
      <c r="T34" s="113"/>
    </row>
    <row r="35" spans="1:20" x14ac:dyDescent="0.25">
      <c r="A35" s="204"/>
      <c r="B35" s="205"/>
      <c r="C35" s="204"/>
      <c r="D35" s="204"/>
      <c r="E35" s="205"/>
      <c r="F35" s="204" t="s">
        <v>207</v>
      </c>
      <c r="G35" s="208">
        <f>+G37/21*17</f>
        <v>776.33333333333326</v>
      </c>
      <c r="H35" s="205"/>
      <c r="I35" s="113"/>
      <c r="J35" s="205"/>
      <c r="K35" s="205"/>
      <c r="L35" s="113"/>
      <c r="M35" s="113"/>
      <c r="N35" s="113"/>
      <c r="O35" s="113"/>
      <c r="P35" s="113"/>
      <c r="Q35" s="113"/>
      <c r="R35" s="113"/>
      <c r="S35" s="113"/>
      <c r="T35" s="113"/>
    </row>
    <row r="36" spans="1:20" x14ac:dyDescent="0.25">
      <c r="A36" s="204"/>
      <c r="B36" s="205"/>
      <c r="C36" s="204"/>
      <c r="D36" s="204"/>
      <c r="E36" s="205"/>
      <c r="F36" s="204" t="s">
        <v>208</v>
      </c>
      <c r="G36" s="208">
        <f>+G37/21*16</f>
        <v>730.66666666666663</v>
      </c>
      <c r="H36" s="207"/>
      <c r="I36" s="113"/>
      <c r="J36" s="205"/>
      <c r="K36" s="207"/>
      <c r="L36" s="113"/>
      <c r="M36" s="113"/>
      <c r="N36" s="113"/>
      <c r="O36" s="113"/>
      <c r="P36" s="113"/>
      <c r="Q36" s="113"/>
      <c r="R36" s="113"/>
      <c r="S36" s="113"/>
      <c r="T36" s="113"/>
    </row>
    <row r="37" spans="1:20" x14ac:dyDescent="0.25">
      <c r="A37" s="209"/>
      <c r="B37" s="205"/>
      <c r="C37" s="209"/>
      <c r="D37" s="209"/>
      <c r="E37" s="205"/>
      <c r="F37" s="209" t="s">
        <v>209</v>
      </c>
      <c r="G37" s="210">
        <v>959</v>
      </c>
      <c r="H37" s="207"/>
      <c r="I37" s="113"/>
      <c r="J37" s="205"/>
      <c r="K37" s="207"/>
      <c r="L37" s="113"/>
      <c r="M37" s="113"/>
      <c r="N37" s="113"/>
      <c r="O37" s="113"/>
      <c r="P37" s="113"/>
      <c r="Q37" s="113"/>
      <c r="R37" s="113"/>
      <c r="S37" s="113"/>
      <c r="T37" s="113"/>
    </row>
    <row r="38" spans="1:20" x14ac:dyDescent="0.25">
      <c r="A38" s="204"/>
      <c r="B38" s="205"/>
      <c r="C38" s="204"/>
      <c r="D38" s="204"/>
      <c r="E38" s="205"/>
      <c r="F38" s="204" t="s">
        <v>210</v>
      </c>
      <c r="G38" s="210">
        <v>774</v>
      </c>
      <c r="H38" s="207"/>
      <c r="I38" s="113"/>
      <c r="J38" s="205"/>
      <c r="K38" s="207"/>
      <c r="L38" s="113"/>
      <c r="M38" s="113"/>
      <c r="N38" s="113"/>
      <c r="O38" s="113"/>
      <c r="P38" s="113"/>
      <c r="Q38" s="113"/>
      <c r="R38" s="113"/>
      <c r="S38" s="113"/>
      <c r="T38" s="113"/>
    </row>
    <row r="39" spans="1:20" x14ac:dyDescent="0.25">
      <c r="A39" s="204"/>
      <c r="B39" s="205"/>
      <c r="C39" s="204"/>
      <c r="D39" s="204"/>
      <c r="E39" s="205"/>
      <c r="F39" s="204" t="s">
        <v>211</v>
      </c>
      <c r="G39" s="211">
        <v>845</v>
      </c>
      <c r="H39" s="207"/>
      <c r="I39" s="113"/>
      <c r="J39" s="205"/>
      <c r="K39" s="207"/>
      <c r="L39" s="113"/>
      <c r="M39" s="113"/>
      <c r="N39" s="113"/>
      <c r="O39" s="113"/>
      <c r="P39" s="113"/>
      <c r="Q39" s="113"/>
      <c r="R39" s="113"/>
      <c r="S39" s="113"/>
      <c r="T39" s="113"/>
    </row>
    <row r="40" spans="1:20" ht="15.75" thickBot="1" x14ac:dyDescent="0.3">
      <c r="A40" s="204"/>
      <c r="B40" s="205"/>
      <c r="C40" s="204"/>
      <c r="D40" s="204"/>
      <c r="E40" s="205"/>
      <c r="F40" s="204" t="s">
        <v>212</v>
      </c>
      <c r="G40" s="212">
        <v>671</v>
      </c>
      <c r="H40" s="207"/>
      <c r="I40" s="113"/>
      <c r="J40" s="205"/>
      <c r="K40" s="207"/>
      <c r="L40" s="113"/>
      <c r="M40" s="113"/>
      <c r="N40" s="113"/>
      <c r="O40" s="113"/>
      <c r="P40" s="113"/>
      <c r="Q40" s="113"/>
      <c r="R40" s="113"/>
      <c r="S40" s="113"/>
      <c r="T40" s="113"/>
    </row>
    <row r="41" spans="1:20" ht="15.75" thickBot="1" x14ac:dyDescent="0.3">
      <c r="A41"/>
      <c r="B41" s="213"/>
      <c r="C41"/>
      <c r="D41"/>
      <c r="E41" s="213"/>
      <c r="F41" t="s">
        <v>213</v>
      </c>
      <c r="G41" s="214">
        <f>SUM(G29:G40)</f>
        <v>10281.666666666666</v>
      </c>
      <c r="H41" s="215">
        <f>+G41*809</f>
        <v>8317868.333333333</v>
      </c>
      <c r="I41" s="113"/>
      <c r="J41" s="216"/>
      <c r="K41" s="217"/>
      <c r="L41" s="113"/>
      <c r="M41" s="113"/>
      <c r="N41" s="113"/>
      <c r="O41" s="113"/>
      <c r="P41" s="113"/>
      <c r="Q41" s="113"/>
      <c r="R41" s="113"/>
      <c r="S41" s="113"/>
      <c r="T41" s="113"/>
    </row>
    <row r="42" spans="1:20" s="132" customFormat="1" x14ac:dyDescent="0.25">
      <c r="A42" s="218"/>
      <c r="B42" s="207"/>
      <c r="C42" s="219"/>
      <c r="D42" s="218"/>
      <c r="E42" s="207"/>
      <c r="F42" s="219"/>
      <c r="G42" s="220" t="s">
        <v>222</v>
      </c>
      <c r="H42" s="221">
        <f>+H41/1.27</f>
        <v>6549502.6246719155</v>
      </c>
      <c r="I42" s="222"/>
      <c r="J42" s="207"/>
      <c r="K42" s="223"/>
      <c r="L42" s="222"/>
      <c r="M42" s="222"/>
      <c r="N42" s="222"/>
      <c r="O42" s="222"/>
      <c r="P42" s="222"/>
      <c r="Q42" s="222"/>
      <c r="R42" s="222"/>
      <c r="S42" s="222"/>
      <c r="T42" s="222"/>
    </row>
    <row r="43" spans="1:20" x14ac:dyDescent="0.25">
      <c r="A43"/>
      <c r="B43" s="224"/>
      <c r="C43" s="225"/>
      <c r="D43"/>
      <c r="E43" s="224" t="s">
        <v>223</v>
      </c>
      <c r="F43" s="225"/>
      <c r="G43" s="226">
        <f>+G41*321</f>
        <v>3300415</v>
      </c>
      <c r="H43" s="225"/>
      <c r="I43" s="113"/>
      <c r="J43" s="227"/>
      <c r="K43" s="217"/>
      <c r="L43" s="113"/>
      <c r="M43" s="113"/>
      <c r="N43" s="113"/>
      <c r="O43" s="113"/>
      <c r="P43" s="113"/>
      <c r="Q43" s="113"/>
      <c r="R43" s="113"/>
      <c r="S43" s="113"/>
      <c r="T43" s="113"/>
    </row>
    <row r="44" spans="1:20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86">
        <f>+H42+H54</f>
        <v>7518913.6482939627</v>
      </c>
      <c r="K44" s="113"/>
      <c r="L44" s="113"/>
      <c r="M44" s="113"/>
      <c r="N44" s="113"/>
      <c r="O44" s="113"/>
      <c r="P44" s="113"/>
      <c r="Q44" s="113"/>
      <c r="R44" s="113"/>
      <c r="S44" s="113"/>
      <c r="T44" s="113"/>
    </row>
    <row r="45" spans="1:20" ht="15" customHeight="1" x14ac:dyDescent="0.25">
      <c r="A45" s="113" t="s">
        <v>224</v>
      </c>
      <c r="B45" s="113"/>
      <c r="C45" s="113"/>
      <c r="D45" s="113"/>
      <c r="E45" s="113"/>
      <c r="F45" s="113"/>
      <c r="G45" s="228"/>
      <c r="H45" s="113"/>
      <c r="I45" s="229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</row>
    <row r="46" spans="1:20" x14ac:dyDescent="0.25">
      <c r="A46" s="455" t="s">
        <v>235</v>
      </c>
      <c r="B46" s="230">
        <f>+'[1]szünidei étk.'!D9</f>
        <v>10710</v>
      </c>
      <c r="C46" s="113"/>
      <c r="D46" s="113"/>
      <c r="E46" s="113" t="s">
        <v>233</v>
      </c>
      <c r="F46" s="113"/>
      <c r="G46" s="113"/>
      <c r="H46" s="113"/>
      <c r="I46" s="229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</row>
    <row r="47" spans="1:20" ht="28.5" customHeight="1" x14ac:dyDescent="0.25">
      <c r="A47" s="455"/>
      <c r="B47" s="230">
        <f>+'[1]szünidei étk.'!M9</f>
        <v>5355</v>
      </c>
      <c r="C47" s="113"/>
      <c r="D47" s="113"/>
      <c r="E47" s="231" t="s">
        <v>234</v>
      </c>
      <c r="F47" s="232" t="s">
        <v>225</v>
      </c>
      <c r="G47" s="113"/>
      <c r="H47" s="113"/>
      <c r="I47" s="229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</row>
    <row r="48" spans="1:20" x14ac:dyDescent="0.25">
      <c r="A48" s="456" t="s">
        <v>226</v>
      </c>
      <c r="B48" s="233">
        <f>+'[1]szünidei étk.'!G8</f>
        <v>1890</v>
      </c>
      <c r="C48" s="222"/>
      <c r="D48" s="113"/>
      <c r="E48" s="113">
        <v>23940</v>
      </c>
      <c r="F48" s="228">
        <v>34200</v>
      </c>
      <c r="G48" s="113"/>
      <c r="H48" s="113"/>
      <c r="I48" s="229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</row>
    <row r="49" spans="1:20" x14ac:dyDescent="0.25">
      <c r="A49" s="456"/>
      <c r="B49" s="233">
        <f>+'[1]szünidei étk.'!D8</f>
        <v>102060</v>
      </c>
      <c r="C49" s="234"/>
      <c r="D49" s="113"/>
      <c r="E49" s="113">
        <v>11655</v>
      </c>
      <c r="F49" s="228">
        <v>16650</v>
      </c>
      <c r="G49" s="113"/>
      <c r="H49" s="113"/>
      <c r="I49" s="229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</row>
    <row r="50" spans="1:20" x14ac:dyDescent="0.25">
      <c r="A50" s="456"/>
      <c r="B50" s="233">
        <f>+'[1]szünidei étk.'!J8</f>
        <v>4725</v>
      </c>
      <c r="C50" s="235"/>
      <c r="D50" s="113"/>
      <c r="E50" s="113">
        <v>72320</v>
      </c>
      <c r="F50" s="228">
        <v>103168</v>
      </c>
      <c r="G50" s="113"/>
      <c r="H50" s="236"/>
      <c r="I50" s="229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</row>
    <row r="51" spans="1:20" x14ac:dyDescent="0.25">
      <c r="A51" s="456"/>
      <c r="B51" s="233">
        <f>+'[1]szünidei étk.'!M8</f>
        <v>4725</v>
      </c>
      <c r="C51" s="235"/>
      <c r="D51" s="113"/>
      <c r="E51" s="113">
        <v>15750</v>
      </c>
      <c r="F51" s="228">
        <v>22500</v>
      </c>
      <c r="G51" s="113"/>
      <c r="H51" s="236"/>
      <c r="I51" s="229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</row>
    <row r="52" spans="1:20" x14ac:dyDescent="0.25">
      <c r="A52" s="113" t="s">
        <v>227</v>
      </c>
      <c r="B52" s="186">
        <f>SUM(B46:B51)</f>
        <v>129465</v>
      </c>
      <c r="C52" s="237"/>
      <c r="D52" s="113"/>
      <c r="E52" s="113">
        <v>21735</v>
      </c>
      <c r="F52" s="228">
        <v>31050</v>
      </c>
      <c r="G52" s="238"/>
      <c r="H52" s="236"/>
      <c r="I52" s="229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</row>
    <row r="53" spans="1:20" x14ac:dyDescent="0.25">
      <c r="A53" s="239" t="s">
        <v>222</v>
      </c>
      <c r="B53" s="240">
        <f>+B52/1.27</f>
        <v>101940.94488188977</v>
      </c>
      <c r="C53" s="113"/>
      <c r="D53" s="113"/>
      <c r="E53" s="113">
        <v>31110</v>
      </c>
      <c r="F53" s="228">
        <v>46920</v>
      </c>
      <c r="G53" s="113"/>
      <c r="H53" s="186"/>
      <c r="I53" s="229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</row>
    <row r="54" spans="1:20" x14ac:dyDescent="0.25">
      <c r="A54" s="222"/>
      <c r="B54" s="237"/>
      <c r="C54" s="113"/>
      <c r="D54" s="113"/>
      <c r="E54" s="113">
        <v>355005</v>
      </c>
      <c r="F54" s="228">
        <v>507150</v>
      </c>
      <c r="G54" s="238" t="s">
        <v>228</v>
      </c>
      <c r="H54" s="240">
        <f>+'[1]egyéb rendezvények'!C16</f>
        <v>969411.02362204727</v>
      </c>
      <c r="I54" s="229" t="s">
        <v>229</v>
      </c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</row>
    <row r="55" spans="1:20" x14ac:dyDescent="0.25">
      <c r="A55" s="113"/>
      <c r="B55" s="113"/>
      <c r="C55" s="113"/>
      <c r="D55" s="113"/>
      <c r="E55" s="113">
        <v>23940</v>
      </c>
      <c r="F55" s="228">
        <v>34200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</row>
    <row r="56" spans="1:20" x14ac:dyDescent="0.25">
      <c r="A56" s="113"/>
      <c r="B56" s="113"/>
      <c r="C56" s="113"/>
      <c r="D56" s="113"/>
      <c r="E56" s="113">
        <v>11655</v>
      </c>
      <c r="F56" s="228">
        <v>16650</v>
      </c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</row>
    <row r="57" spans="1:20" x14ac:dyDescent="0.25">
      <c r="A57" s="113"/>
      <c r="B57" s="113"/>
      <c r="C57" s="113"/>
      <c r="D57" s="113"/>
      <c r="E57" s="241">
        <f>SUM(E48:E56)</f>
        <v>567110</v>
      </c>
      <c r="F57" s="241">
        <f>SUM(F48:F56)</f>
        <v>812488</v>
      </c>
      <c r="G57" s="238"/>
      <c r="H57" s="240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</row>
    <row r="58" spans="1:20" x14ac:dyDescent="0.25">
      <c r="A58" s="113"/>
      <c r="B58" s="113"/>
      <c r="C58" s="113"/>
      <c r="D58" s="238" t="s">
        <v>228</v>
      </c>
      <c r="E58" s="242">
        <f>+E57/1.27</f>
        <v>446543.30708661419</v>
      </c>
      <c r="F58" s="242">
        <f>+F57/1.27</f>
        <v>639754.33070866147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</row>
    <row r="59" spans="1:20" s="132" customFormat="1" x14ac:dyDescent="0.25">
      <c r="A59" s="222"/>
      <c r="B59" s="222"/>
      <c r="C59" s="222"/>
      <c r="D59" s="243"/>
      <c r="E59" s="457">
        <f>+E58+F58</f>
        <v>1086297.6377952755</v>
      </c>
      <c r="F59" s="457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222"/>
      <c r="T59" s="222"/>
    </row>
    <row r="60" spans="1:20" x14ac:dyDescent="0.25">
      <c r="A60" s="244"/>
      <c r="B60" s="244"/>
      <c r="C60" s="245"/>
      <c r="D60" s="113"/>
      <c r="E60" s="113"/>
      <c r="F60" s="113"/>
      <c r="G60" s="113" t="s">
        <v>230</v>
      </c>
      <c r="H60" s="240">
        <f>+E58+F58</f>
        <v>1086297.6377952755</v>
      </c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</row>
    <row r="61" spans="1:20" x14ac:dyDescent="0.25">
      <c r="A61" s="113"/>
      <c r="B61" s="113"/>
      <c r="C61" s="113"/>
      <c r="D61" s="222"/>
      <c r="E61" s="222"/>
      <c r="F61" s="222"/>
      <c r="G61" s="222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</row>
    <row r="62" spans="1:20" x14ac:dyDescent="0.25">
      <c r="A62" s="246"/>
      <c r="B62" s="113"/>
      <c r="C62" s="113"/>
      <c r="D62" s="247"/>
      <c r="E62" s="248"/>
      <c r="F62" s="234"/>
      <c r="G62" s="243" t="s">
        <v>231</v>
      </c>
      <c r="H62" s="186">
        <f>+H60+H54+H42</f>
        <v>8605211.2860892378</v>
      </c>
      <c r="I62" s="113" t="s">
        <v>232</v>
      </c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</row>
    <row r="63" spans="1:20" x14ac:dyDescent="0.25">
      <c r="A63" s="113"/>
      <c r="B63" s="113"/>
      <c r="C63" s="113"/>
      <c r="D63" s="222"/>
      <c r="E63" s="248"/>
      <c r="F63" s="248"/>
      <c r="G63" s="222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</row>
    <row r="64" spans="1:20" x14ac:dyDescent="0.25">
      <c r="A64" s="113"/>
      <c r="B64" s="113"/>
      <c r="C64" s="113"/>
      <c r="D64" s="222"/>
      <c r="E64" s="248"/>
      <c r="F64" s="248"/>
      <c r="G64" s="222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</row>
    <row r="65" spans="1:20" x14ac:dyDescent="0.25">
      <c r="A65" s="113"/>
      <c r="B65" s="113"/>
      <c r="C65" s="113"/>
      <c r="D65" s="222"/>
      <c r="E65" s="235"/>
      <c r="F65" s="222"/>
      <c r="G65" s="222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</row>
    <row r="66" spans="1:20" x14ac:dyDescent="0.25">
      <c r="A66" s="113"/>
      <c r="B66" s="113"/>
      <c r="C66" s="113"/>
      <c r="D66" s="243"/>
      <c r="E66" s="249"/>
      <c r="F66" s="222"/>
      <c r="G66" s="222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</row>
    <row r="67" spans="1:20" x14ac:dyDescent="0.25">
      <c r="A67" s="113"/>
      <c r="B67" s="113"/>
      <c r="C67" s="113"/>
      <c r="D67" s="222"/>
      <c r="E67" s="222"/>
      <c r="F67" s="222"/>
      <c r="G67" s="222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</row>
    <row r="68" spans="1:20" x14ac:dyDescent="0.25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</row>
    <row r="69" spans="1:20" x14ac:dyDescent="0.25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</row>
    <row r="70" spans="1:20" x14ac:dyDescent="0.25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</row>
    <row r="71" spans="1:20" x14ac:dyDescent="0.25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</row>
    <row r="72" spans="1:20" x14ac:dyDescent="0.25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</row>
    <row r="73" spans="1:20" x14ac:dyDescent="0.25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</row>
    <row r="74" spans="1:20" x14ac:dyDescent="0.25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</row>
    <row r="75" spans="1:20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</row>
    <row r="76" spans="1:20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</row>
    <row r="77" spans="1:20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</row>
    <row r="78" spans="1:20" x14ac:dyDescent="0.25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</row>
    <row r="79" spans="1:20" x14ac:dyDescent="0.25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</row>
    <row r="80" spans="1:20" x14ac:dyDescent="0.25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</row>
    <row r="81" spans="1:20" x14ac:dyDescent="0.25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</row>
    <row r="82" spans="1:20" x14ac:dyDescent="0.25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</row>
    <row r="83" spans="1:20" x14ac:dyDescent="0.25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</row>
    <row r="84" spans="1:20" x14ac:dyDescent="0.25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</row>
    <row r="85" spans="1:20" x14ac:dyDescent="0.25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</row>
    <row r="86" spans="1:20" x14ac:dyDescent="0.25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</row>
    <row r="87" spans="1:20" x14ac:dyDescent="0.25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</row>
    <row r="88" spans="1:20" x14ac:dyDescent="0.25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</row>
    <row r="89" spans="1:20" x14ac:dyDescent="0.25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</row>
    <row r="90" spans="1:20" x14ac:dyDescent="0.25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</row>
    <row r="91" spans="1:20" ht="15" customHeight="1" x14ac:dyDescent="0.2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</row>
    <row r="92" spans="1:20" x14ac:dyDescent="0.25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</row>
    <row r="93" spans="1:20" x14ac:dyDescent="0.25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</row>
    <row r="94" spans="1:20" x14ac:dyDescent="0.25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</row>
    <row r="95" spans="1:20" x14ac:dyDescent="0.25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</row>
    <row r="96" spans="1:20" x14ac:dyDescent="0.25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</row>
    <row r="97" spans="1:20" x14ac:dyDescent="0.25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</row>
    <row r="98" spans="1:20" x14ac:dyDescent="0.25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</row>
    <row r="99" spans="1:20" x14ac:dyDescent="0.25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</row>
    <row r="100" spans="1:20" x14ac:dyDescent="0.25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</row>
    <row r="101" spans="1:20" x14ac:dyDescent="0.25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</row>
    <row r="102" spans="1:20" x14ac:dyDescent="0.25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</row>
    <row r="103" spans="1:20" x14ac:dyDescent="0.25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</row>
    <row r="104" spans="1:20" x14ac:dyDescent="0.25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</row>
    <row r="105" spans="1:20" x14ac:dyDescent="0.25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</row>
    <row r="106" spans="1:20" x14ac:dyDescent="0.25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</row>
    <row r="107" spans="1:20" x14ac:dyDescent="0.25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</row>
    <row r="108" spans="1:20" x14ac:dyDescent="0.25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</row>
    <row r="109" spans="1:20" x14ac:dyDescent="0.25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</row>
    <row r="110" spans="1:20" x14ac:dyDescent="0.25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</row>
    <row r="111" spans="1:20" x14ac:dyDescent="0.25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</row>
    <row r="112" spans="1:20" x14ac:dyDescent="0.25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</row>
    <row r="113" spans="1:20" x14ac:dyDescent="0.25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</row>
    <row r="114" spans="1:20" x14ac:dyDescent="0.25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</row>
    <row r="115" spans="1:20" x14ac:dyDescent="0.25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</row>
    <row r="116" spans="1:20" x14ac:dyDescent="0.25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</row>
    <row r="117" spans="1:20" x14ac:dyDescent="0.25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</row>
    <row r="118" spans="1:20" x14ac:dyDescent="0.25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</row>
    <row r="119" spans="1:20" x14ac:dyDescent="0.25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</row>
    <row r="120" spans="1:20" x14ac:dyDescent="0.25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</row>
    <row r="121" spans="1:20" x14ac:dyDescent="0.2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</row>
    <row r="122" spans="1:20" x14ac:dyDescent="0.25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</row>
    <row r="123" spans="1:20" x14ac:dyDescent="0.25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</row>
    <row r="124" spans="1:20" x14ac:dyDescent="0.25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</row>
    <row r="125" spans="1:20" x14ac:dyDescent="0.25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</row>
    <row r="126" spans="1:20" x14ac:dyDescent="0.25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</row>
    <row r="127" spans="1:20" x14ac:dyDescent="0.25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</row>
    <row r="128" spans="1:20" x14ac:dyDescent="0.25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</row>
    <row r="129" spans="1:20" x14ac:dyDescent="0.25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</row>
    <row r="130" spans="1:20" x14ac:dyDescent="0.25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</row>
    <row r="131" spans="1:20" x14ac:dyDescent="0.25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</row>
    <row r="132" spans="1:20" x14ac:dyDescent="0.25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</row>
    <row r="133" spans="1:20" x14ac:dyDescent="0.25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</row>
    <row r="134" spans="1:20" x14ac:dyDescent="0.25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</row>
    <row r="135" spans="1:20" x14ac:dyDescent="0.25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</row>
    <row r="136" spans="1:20" x14ac:dyDescent="0.25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</row>
    <row r="137" spans="1:20" x14ac:dyDescent="0.25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</row>
    <row r="138" spans="1:20" x14ac:dyDescent="0.25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</row>
    <row r="139" spans="1:20" x14ac:dyDescent="0.25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</row>
    <row r="140" spans="1:20" x14ac:dyDescent="0.25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</row>
    <row r="141" spans="1:20" x14ac:dyDescent="0.25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</row>
    <row r="142" spans="1:20" x14ac:dyDescent="0.25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</row>
    <row r="143" spans="1:20" x14ac:dyDescent="0.25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</row>
    <row r="144" spans="1:20" x14ac:dyDescent="0.25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</row>
    <row r="145" spans="1:20" x14ac:dyDescent="0.25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</row>
    <row r="146" spans="1:20" x14ac:dyDescent="0.25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</row>
    <row r="147" spans="1:20" x14ac:dyDescent="0.25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</row>
    <row r="148" spans="1:20" x14ac:dyDescent="0.25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</row>
    <row r="149" spans="1:20" x14ac:dyDescent="0.25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</row>
    <row r="150" spans="1:20" x14ac:dyDescent="0.25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</row>
    <row r="151" spans="1:20" x14ac:dyDescent="0.25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</row>
    <row r="152" spans="1:20" x14ac:dyDescent="0.25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</row>
    <row r="153" spans="1:20" x14ac:dyDescent="0.25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</row>
    <row r="154" spans="1:20" x14ac:dyDescent="0.25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</row>
    <row r="155" spans="1:20" x14ac:dyDescent="0.25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</row>
    <row r="156" spans="1:20" x14ac:dyDescent="0.25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</row>
    <row r="157" spans="1:20" x14ac:dyDescent="0.25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</row>
    <row r="158" spans="1:20" x14ac:dyDescent="0.25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</row>
    <row r="159" spans="1:20" x14ac:dyDescent="0.25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</row>
    <row r="160" spans="1:20" x14ac:dyDescent="0.25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</row>
    <row r="161" spans="1:20" x14ac:dyDescent="0.25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</row>
    <row r="162" spans="1:20" x14ac:dyDescent="0.25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</row>
    <row r="163" spans="1:20" x14ac:dyDescent="0.25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</row>
    <row r="164" spans="1:20" x14ac:dyDescent="0.25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</row>
    <row r="165" spans="1:20" x14ac:dyDescent="0.25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</row>
    <row r="166" spans="1:20" x14ac:dyDescent="0.25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</row>
    <row r="167" spans="1:20" x14ac:dyDescent="0.25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</row>
    <row r="168" spans="1:20" x14ac:dyDescent="0.25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</row>
    <row r="169" spans="1:20" x14ac:dyDescent="0.25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</row>
    <row r="170" spans="1:20" x14ac:dyDescent="0.25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</row>
    <row r="171" spans="1:20" x14ac:dyDescent="0.25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</row>
    <row r="172" spans="1:20" x14ac:dyDescent="0.25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</row>
    <row r="173" spans="1:20" x14ac:dyDescent="0.25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</row>
    <row r="174" spans="1:20" x14ac:dyDescent="0.25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</row>
    <row r="175" spans="1:20" x14ac:dyDescent="0.25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</row>
    <row r="176" spans="1:20" x14ac:dyDescent="0.25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</row>
    <row r="177" spans="1:20" x14ac:dyDescent="0.25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</row>
    <row r="178" spans="1:20" x14ac:dyDescent="0.25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</row>
    <row r="179" spans="1:20" x14ac:dyDescent="0.25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</row>
    <row r="180" spans="1:20" x14ac:dyDescent="0.25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</row>
    <row r="181" spans="1:20" x14ac:dyDescent="0.25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</row>
    <row r="182" spans="1:20" x14ac:dyDescent="0.25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</row>
    <row r="183" spans="1:20" x14ac:dyDescent="0.25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</row>
    <row r="184" spans="1:20" x14ac:dyDescent="0.25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</row>
    <row r="185" spans="1:20" x14ac:dyDescent="0.25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</row>
    <row r="186" spans="1:20" x14ac:dyDescent="0.25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</row>
    <row r="187" spans="1:20" x14ac:dyDescent="0.25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</row>
    <row r="188" spans="1:20" x14ac:dyDescent="0.25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</row>
    <row r="189" spans="1:20" x14ac:dyDescent="0.25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</row>
    <row r="190" spans="1:20" x14ac:dyDescent="0.25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</row>
    <row r="191" spans="1:20" x14ac:dyDescent="0.25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</row>
    <row r="192" spans="1:20" x14ac:dyDescent="0.25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</row>
    <row r="193" spans="1:20" x14ac:dyDescent="0.25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</row>
    <row r="194" spans="1:20" x14ac:dyDescent="0.25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</row>
    <row r="195" spans="1:20" x14ac:dyDescent="0.25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</row>
    <row r="196" spans="1:20" x14ac:dyDescent="0.25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</row>
    <row r="197" spans="1:20" x14ac:dyDescent="0.25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</row>
    <row r="198" spans="1:20" x14ac:dyDescent="0.25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</row>
    <row r="199" spans="1:20" x14ac:dyDescent="0.25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</row>
    <row r="200" spans="1:20" x14ac:dyDescent="0.25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</row>
    <row r="201" spans="1:20" x14ac:dyDescent="0.25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</row>
    <row r="202" spans="1:20" x14ac:dyDescent="0.25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</row>
    <row r="203" spans="1:20" x14ac:dyDescent="0.25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</row>
    <row r="204" spans="1:20" x14ac:dyDescent="0.25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</row>
    <row r="205" spans="1:20" x14ac:dyDescent="0.25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</row>
    <row r="206" spans="1:20" x14ac:dyDescent="0.25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</row>
    <row r="207" spans="1:20" x14ac:dyDescent="0.25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</row>
    <row r="208" spans="1:20" x14ac:dyDescent="0.25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</row>
    <row r="209" spans="1:20" x14ac:dyDescent="0.25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</row>
    <row r="210" spans="1:20" x14ac:dyDescent="0.25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</row>
    <row r="211" spans="1:20" x14ac:dyDescent="0.25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</row>
    <row r="212" spans="1:20" x14ac:dyDescent="0.25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</row>
    <row r="213" spans="1:20" x14ac:dyDescent="0.25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</row>
    <row r="214" spans="1:20" x14ac:dyDescent="0.25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</row>
    <row r="215" spans="1:20" x14ac:dyDescent="0.25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</row>
    <row r="216" spans="1:20" x14ac:dyDescent="0.25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</row>
    <row r="217" spans="1:20" x14ac:dyDescent="0.25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</row>
    <row r="218" spans="1:20" x14ac:dyDescent="0.25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</row>
    <row r="219" spans="1:20" x14ac:dyDescent="0.25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</row>
    <row r="220" spans="1:20" x14ac:dyDescent="0.25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</row>
    <row r="221" spans="1:20" x14ac:dyDescent="0.25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</row>
    <row r="222" spans="1:20" x14ac:dyDescent="0.25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</row>
    <row r="223" spans="1:20" x14ac:dyDescent="0.25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</row>
    <row r="224" spans="1:20" x14ac:dyDescent="0.25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</row>
    <row r="225" spans="1:20" x14ac:dyDescent="0.25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</row>
    <row r="226" spans="1:20" x14ac:dyDescent="0.25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</row>
    <row r="227" spans="1:20" x14ac:dyDescent="0.25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</row>
    <row r="228" spans="1:20" x14ac:dyDescent="0.25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</row>
    <row r="229" spans="1:20" x14ac:dyDescent="0.25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</row>
    <row r="230" spans="1:20" x14ac:dyDescent="0.25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</row>
    <row r="231" spans="1:20" x14ac:dyDescent="0.25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</row>
    <row r="232" spans="1:20" x14ac:dyDescent="0.25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</row>
    <row r="233" spans="1:20" x14ac:dyDescent="0.25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</row>
    <row r="234" spans="1:20" x14ac:dyDescent="0.25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</row>
    <row r="235" spans="1:20" x14ac:dyDescent="0.25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</row>
    <row r="236" spans="1:20" x14ac:dyDescent="0.25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</row>
    <row r="237" spans="1:20" x14ac:dyDescent="0.25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</row>
    <row r="238" spans="1:20" x14ac:dyDescent="0.25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0" x14ac:dyDescent="0.25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</row>
    <row r="240" spans="1:20" x14ac:dyDescent="0.25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</row>
    <row r="241" spans="1:20" x14ac:dyDescent="0.25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</row>
    <row r="242" spans="1:20" x14ac:dyDescent="0.25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</row>
    <row r="243" spans="1:20" x14ac:dyDescent="0.25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</row>
    <row r="244" spans="1:20" x14ac:dyDescent="0.25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</row>
    <row r="245" spans="1:20" x14ac:dyDescent="0.25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</row>
    <row r="246" spans="1:20" x14ac:dyDescent="0.25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</row>
    <row r="247" spans="1:20" x14ac:dyDescent="0.25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</row>
    <row r="248" spans="1:20" x14ac:dyDescent="0.25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</row>
    <row r="249" spans="1:20" x14ac:dyDescent="0.25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</row>
    <row r="250" spans="1:20" x14ac:dyDescent="0.25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</row>
    <row r="251" spans="1:20" x14ac:dyDescent="0.25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</row>
    <row r="252" spans="1:20" x14ac:dyDescent="0.25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</row>
    <row r="253" spans="1:20" x14ac:dyDescent="0.25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</row>
    <row r="254" spans="1:20" x14ac:dyDescent="0.25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</row>
    <row r="255" spans="1:20" x14ac:dyDescent="0.25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</row>
    <row r="256" spans="1:20" x14ac:dyDescent="0.25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</row>
    <row r="257" spans="1:20" x14ac:dyDescent="0.25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</row>
    <row r="258" spans="1:20" x14ac:dyDescent="0.25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</row>
    <row r="259" spans="1:20" x14ac:dyDescent="0.25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</row>
    <row r="260" spans="1:20" x14ac:dyDescent="0.25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</row>
    <row r="261" spans="1:20" x14ac:dyDescent="0.25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</row>
    <row r="262" spans="1:20" x14ac:dyDescent="0.25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</row>
    <row r="263" spans="1:20" x14ac:dyDescent="0.25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</row>
    <row r="264" spans="1:20" x14ac:dyDescent="0.25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</row>
    <row r="265" spans="1:20" x14ac:dyDescent="0.25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</row>
    <row r="266" spans="1:20" x14ac:dyDescent="0.25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</row>
    <row r="267" spans="1:20" x14ac:dyDescent="0.25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</row>
    <row r="268" spans="1:20" x14ac:dyDescent="0.25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</row>
    <row r="269" spans="1:20" x14ac:dyDescent="0.25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</row>
    <row r="270" spans="1:20" x14ac:dyDescent="0.25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</row>
    <row r="271" spans="1:20" x14ac:dyDescent="0.25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</row>
    <row r="272" spans="1:20" x14ac:dyDescent="0.25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</row>
    <row r="273" spans="1:20" x14ac:dyDescent="0.25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</row>
    <row r="274" spans="1:20" x14ac:dyDescent="0.25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</row>
    <row r="275" spans="1:20" x14ac:dyDescent="0.25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</row>
    <row r="276" spans="1:20" x14ac:dyDescent="0.25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</row>
    <row r="277" spans="1:20" x14ac:dyDescent="0.25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</row>
    <row r="278" spans="1:20" x14ac:dyDescent="0.25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</row>
    <row r="279" spans="1:20" x14ac:dyDescent="0.25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</row>
    <row r="280" spans="1:20" x14ac:dyDescent="0.25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</row>
    <row r="281" spans="1:20" x14ac:dyDescent="0.25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</row>
    <row r="282" spans="1:20" x14ac:dyDescent="0.25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</row>
    <row r="283" spans="1:20" x14ac:dyDescent="0.25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</row>
    <row r="284" spans="1:20" x14ac:dyDescent="0.25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</row>
    <row r="285" spans="1:20" x14ac:dyDescent="0.25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</row>
    <row r="286" spans="1:20" x14ac:dyDescent="0.25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</row>
    <row r="287" spans="1:20" x14ac:dyDescent="0.25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</row>
    <row r="288" spans="1:20" x14ac:dyDescent="0.25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</row>
    <row r="289" spans="1:20" x14ac:dyDescent="0.25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</row>
    <row r="290" spans="1:20" x14ac:dyDescent="0.25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</row>
    <row r="291" spans="1:20" x14ac:dyDescent="0.25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</row>
    <row r="292" spans="1:20" x14ac:dyDescent="0.25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</row>
    <row r="293" spans="1:20" x14ac:dyDescent="0.25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</row>
    <row r="294" spans="1:20" x14ac:dyDescent="0.25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</row>
    <row r="295" spans="1:20" x14ac:dyDescent="0.25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</row>
    <row r="296" spans="1:20" x14ac:dyDescent="0.25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</row>
    <row r="297" spans="1:20" x14ac:dyDescent="0.25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</row>
    <row r="298" spans="1:20" x14ac:dyDescent="0.25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</row>
    <row r="299" spans="1:20" x14ac:dyDescent="0.25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</row>
    <row r="300" spans="1:20" x14ac:dyDescent="0.25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</row>
    <row r="301" spans="1:20" x14ac:dyDescent="0.25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</row>
    <row r="302" spans="1:20" x14ac:dyDescent="0.25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</row>
    <row r="303" spans="1:20" x14ac:dyDescent="0.25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</row>
    <row r="304" spans="1:20" x14ac:dyDescent="0.25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</row>
    <row r="305" spans="1:20" x14ac:dyDescent="0.25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</row>
    <row r="306" spans="1:20" x14ac:dyDescent="0.25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</row>
    <row r="307" spans="1:20" x14ac:dyDescent="0.25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</row>
    <row r="308" spans="1:20" x14ac:dyDescent="0.25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</row>
    <row r="309" spans="1:20" x14ac:dyDescent="0.25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</row>
    <row r="310" spans="1:20" x14ac:dyDescent="0.25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</row>
    <row r="311" spans="1:20" x14ac:dyDescent="0.25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</row>
    <row r="312" spans="1:20" x14ac:dyDescent="0.25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</row>
    <row r="313" spans="1:20" x14ac:dyDescent="0.25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</row>
    <row r="314" spans="1:20" x14ac:dyDescent="0.25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</row>
    <row r="315" spans="1:20" x14ac:dyDescent="0.25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</row>
    <row r="316" spans="1:20" x14ac:dyDescent="0.25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</row>
    <row r="317" spans="1:20" x14ac:dyDescent="0.25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</row>
    <row r="318" spans="1:20" x14ac:dyDescent="0.25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</row>
    <row r="319" spans="1:20" x14ac:dyDescent="0.25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</row>
    <row r="320" spans="1:20" x14ac:dyDescent="0.25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</row>
    <row r="321" spans="1:20" x14ac:dyDescent="0.25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</row>
    <row r="322" spans="1:20" x14ac:dyDescent="0.25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</row>
    <row r="323" spans="1:20" x14ac:dyDescent="0.25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</row>
    <row r="324" spans="1:20" x14ac:dyDescent="0.25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</row>
    <row r="325" spans="1:20" x14ac:dyDescent="0.25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x14ac:dyDescent="0.25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</row>
    <row r="327" spans="1:20" x14ac:dyDescent="0.25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</row>
    <row r="328" spans="1:20" x14ac:dyDescent="0.25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</row>
    <row r="329" spans="1:20" x14ac:dyDescent="0.25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</row>
    <row r="330" spans="1:20" x14ac:dyDescent="0.25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</row>
    <row r="331" spans="1:20" x14ac:dyDescent="0.25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</row>
    <row r="332" spans="1:20" x14ac:dyDescent="0.25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</row>
    <row r="333" spans="1:20" x14ac:dyDescent="0.25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</row>
    <row r="334" spans="1:20" x14ac:dyDescent="0.25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</row>
    <row r="335" spans="1:20" x14ac:dyDescent="0.25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</row>
    <row r="336" spans="1:20" x14ac:dyDescent="0.25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</row>
    <row r="337" spans="1:20" x14ac:dyDescent="0.25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</row>
    <row r="338" spans="1:20" x14ac:dyDescent="0.25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</row>
    <row r="339" spans="1:20" x14ac:dyDescent="0.25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</row>
    <row r="340" spans="1:20" x14ac:dyDescent="0.25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</row>
    <row r="341" spans="1:20" x14ac:dyDescent="0.25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</row>
    <row r="342" spans="1:20" x14ac:dyDescent="0.25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</row>
    <row r="343" spans="1:20" x14ac:dyDescent="0.25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</row>
    <row r="344" spans="1:20" x14ac:dyDescent="0.25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</row>
    <row r="345" spans="1:20" x14ac:dyDescent="0.25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</row>
    <row r="346" spans="1:20" x14ac:dyDescent="0.25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</row>
    <row r="347" spans="1:20" x14ac:dyDescent="0.25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</row>
    <row r="348" spans="1:20" x14ac:dyDescent="0.25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</row>
    <row r="349" spans="1:20" x14ac:dyDescent="0.25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</row>
    <row r="350" spans="1:20" x14ac:dyDescent="0.25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</row>
    <row r="351" spans="1:20" x14ac:dyDescent="0.25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</row>
    <row r="352" spans="1:20" x14ac:dyDescent="0.25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</row>
    <row r="353" spans="1:20" x14ac:dyDescent="0.25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</row>
    <row r="354" spans="1:20" x14ac:dyDescent="0.25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</row>
    <row r="355" spans="1:20" x14ac:dyDescent="0.25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</row>
    <row r="356" spans="1:20" x14ac:dyDescent="0.25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</row>
    <row r="357" spans="1:20" x14ac:dyDescent="0.25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</row>
    <row r="358" spans="1:20" x14ac:dyDescent="0.25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</row>
    <row r="359" spans="1:20" x14ac:dyDescent="0.25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</row>
    <row r="360" spans="1:20" x14ac:dyDescent="0.25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</row>
    <row r="361" spans="1:20" x14ac:dyDescent="0.25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</row>
    <row r="362" spans="1:20" x14ac:dyDescent="0.25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</row>
    <row r="363" spans="1:20" x14ac:dyDescent="0.25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</row>
    <row r="364" spans="1:20" x14ac:dyDescent="0.25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</row>
    <row r="365" spans="1:20" x14ac:dyDescent="0.25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</row>
    <row r="366" spans="1:20" x14ac:dyDescent="0.25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</row>
    <row r="367" spans="1:20" x14ac:dyDescent="0.25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</row>
    <row r="368" spans="1:20" x14ac:dyDescent="0.25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</row>
    <row r="369" spans="1:20" x14ac:dyDescent="0.25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</row>
    <row r="370" spans="1:20" x14ac:dyDescent="0.25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</row>
    <row r="371" spans="1:20" x14ac:dyDescent="0.25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</row>
    <row r="372" spans="1:20" x14ac:dyDescent="0.25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</row>
    <row r="373" spans="1:20" x14ac:dyDescent="0.25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</row>
    <row r="374" spans="1:20" x14ac:dyDescent="0.25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</row>
    <row r="375" spans="1:20" x14ac:dyDescent="0.25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</row>
    <row r="376" spans="1:20" x14ac:dyDescent="0.25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</row>
    <row r="377" spans="1:20" x14ac:dyDescent="0.25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</row>
    <row r="378" spans="1:20" x14ac:dyDescent="0.25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</row>
    <row r="379" spans="1:20" x14ac:dyDescent="0.25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</row>
    <row r="380" spans="1:20" x14ac:dyDescent="0.25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</row>
    <row r="381" spans="1:20" x14ac:dyDescent="0.25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</row>
    <row r="382" spans="1:20" x14ac:dyDescent="0.25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</row>
    <row r="383" spans="1:20" x14ac:dyDescent="0.25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</row>
    <row r="384" spans="1:20" x14ac:dyDescent="0.25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</row>
    <row r="385" spans="1:20" x14ac:dyDescent="0.25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</row>
    <row r="386" spans="1:20" x14ac:dyDescent="0.25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</row>
    <row r="387" spans="1:20" x14ac:dyDescent="0.25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</row>
    <row r="388" spans="1:20" x14ac:dyDescent="0.25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</row>
    <row r="389" spans="1:20" x14ac:dyDescent="0.25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</row>
    <row r="390" spans="1:20" x14ac:dyDescent="0.25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</row>
    <row r="391" spans="1:20" x14ac:dyDescent="0.25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</row>
    <row r="392" spans="1:20" x14ac:dyDescent="0.25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</row>
    <row r="393" spans="1:20" x14ac:dyDescent="0.25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</row>
    <row r="394" spans="1:20" x14ac:dyDescent="0.25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</row>
    <row r="395" spans="1:20" x14ac:dyDescent="0.25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</row>
    <row r="396" spans="1:20" x14ac:dyDescent="0.25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</row>
    <row r="397" spans="1:20" x14ac:dyDescent="0.25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</row>
    <row r="398" spans="1:20" x14ac:dyDescent="0.25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</row>
    <row r="399" spans="1:20" x14ac:dyDescent="0.25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</row>
    <row r="400" spans="1:20" x14ac:dyDescent="0.25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</row>
    <row r="401" spans="1:20" x14ac:dyDescent="0.25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</row>
    <row r="402" spans="1:20" x14ac:dyDescent="0.25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</row>
    <row r="403" spans="1:20" x14ac:dyDescent="0.25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</row>
    <row r="404" spans="1:20" x14ac:dyDescent="0.25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</row>
    <row r="405" spans="1:20" x14ac:dyDescent="0.25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</row>
    <row r="406" spans="1:20" x14ac:dyDescent="0.25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</row>
    <row r="407" spans="1:20" x14ac:dyDescent="0.25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</row>
    <row r="408" spans="1:20" x14ac:dyDescent="0.25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</row>
    <row r="409" spans="1:20" x14ac:dyDescent="0.25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</row>
    <row r="410" spans="1:20" x14ac:dyDescent="0.25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</row>
    <row r="411" spans="1:20" x14ac:dyDescent="0.25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</row>
    <row r="412" spans="1:20" x14ac:dyDescent="0.25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</row>
    <row r="413" spans="1:20" x14ac:dyDescent="0.25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</row>
    <row r="414" spans="1:20" x14ac:dyDescent="0.25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</row>
    <row r="415" spans="1:20" x14ac:dyDescent="0.25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</row>
    <row r="416" spans="1:20" x14ac:dyDescent="0.25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</row>
    <row r="417" spans="1:20" x14ac:dyDescent="0.25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</row>
    <row r="418" spans="1:20" x14ac:dyDescent="0.25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</row>
    <row r="419" spans="1:20" x14ac:dyDescent="0.25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</row>
    <row r="420" spans="1:20" x14ac:dyDescent="0.25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</row>
    <row r="421" spans="1:20" x14ac:dyDescent="0.25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</row>
    <row r="422" spans="1:20" x14ac:dyDescent="0.25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</row>
    <row r="423" spans="1:20" x14ac:dyDescent="0.25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</row>
    <row r="424" spans="1:20" x14ac:dyDescent="0.25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</row>
    <row r="425" spans="1:20" x14ac:dyDescent="0.25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</row>
    <row r="426" spans="1:20" x14ac:dyDescent="0.25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</row>
    <row r="427" spans="1:20" x14ac:dyDescent="0.25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</row>
    <row r="428" spans="1:20" x14ac:dyDescent="0.25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</row>
    <row r="429" spans="1:20" x14ac:dyDescent="0.25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</row>
    <row r="430" spans="1:20" x14ac:dyDescent="0.25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</row>
    <row r="431" spans="1:20" x14ac:dyDescent="0.25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</row>
    <row r="432" spans="1:20" x14ac:dyDescent="0.25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</row>
    <row r="433" spans="1:20" x14ac:dyDescent="0.25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</row>
    <row r="434" spans="1:20" x14ac:dyDescent="0.25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</row>
    <row r="435" spans="1:20" x14ac:dyDescent="0.25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</row>
    <row r="436" spans="1:20" x14ac:dyDescent="0.25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</row>
    <row r="437" spans="1:20" x14ac:dyDescent="0.25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</row>
    <row r="438" spans="1:20" x14ac:dyDescent="0.25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</row>
    <row r="439" spans="1:20" x14ac:dyDescent="0.25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</row>
    <row r="440" spans="1:20" x14ac:dyDescent="0.25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</row>
    <row r="441" spans="1:20" x14ac:dyDescent="0.25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</row>
    <row r="442" spans="1:20" x14ac:dyDescent="0.25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</row>
    <row r="443" spans="1:20" x14ac:dyDescent="0.25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</row>
    <row r="444" spans="1:20" x14ac:dyDescent="0.25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</row>
    <row r="445" spans="1:20" x14ac:dyDescent="0.25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</row>
    <row r="446" spans="1:20" x14ac:dyDescent="0.25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</row>
    <row r="447" spans="1:20" x14ac:dyDescent="0.25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</row>
    <row r="448" spans="1:20" x14ac:dyDescent="0.25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</row>
    <row r="449" spans="1:20" x14ac:dyDescent="0.25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</row>
    <row r="450" spans="1:20" x14ac:dyDescent="0.25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</row>
    <row r="451" spans="1:20" x14ac:dyDescent="0.25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</row>
    <row r="452" spans="1:20" x14ac:dyDescent="0.25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</row>
    <row r="453" spans="1:20" x14ac:dyDescent="0.25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</row>
    <row r="454" spans="1:20" x14ac:dyDescent="0.25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</row>
    <row r="455" spans="1:20" x14ac:dyDescent="0.25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</row>
    <row r="456" spans="1:20" x14ac:dyDescent="0.25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</row>
    <row r="457" spans="1:20" x14ac:dyDescent="0.25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</row>
    <row r="458" spans="1:20" x14ac:dyDescent="0.25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</row>
    <row r="459" spans="1:20" x14ac:dyDescent="0.25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</row>
    <row r="460" spans="1:20" x14ac:dyDescent="0.25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</row>
    <row r="461" spans="1:20" x14ac:dyDescent="0.25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</row>
    <row r="462" spans="1:20" x14ac:dyDescent="0.25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</row>
    <row r="463" spans="1:20" x14ac:dyDescent="0.25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</row>
    <row r="464" spans="1:20" x14ac:dyDescent="0.25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</row>
    <row r="465" spans="1:20" x14ac:dyDescent="0.25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</row>
    <row r="466" spans="1:20" x14ac:dyDescent="0.25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</row>
    <row r="467" spans="1:20" x14ac:dyDescent="0.25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</row>
    <row r="468" spans="1:20" x14ac:dyDescent="0.25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</row>
    <row r="469" spans="1:20" x14ac:dyDescent="0.25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</row>
    <row r="470" spans="1:20" x14ac:dyDescent="0.25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</row>
    <row r="471" spans="1:20" x14ac:dyDescent="0.25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</row>
    <row r="472" spans="1:20" x14ac:dyDescent="0.25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</row>
    <row r="473" spans="1:20" x14ac:dyDescent="0.25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</row>
    <row r="474" spans="1:20" x14ac:dyDescent="0.25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</row>
    <row r="475" spans="1:20" x14ac:dyDescent="0.25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</row>
    <row r="476" spans="1:20" x14ac:dyDescent="0.25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</row>
    <row r="477" spans="1:20" x14ac:dyDescent="0.25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</row>
    <row r="478" spans="1:20" x14ac:dyDescent="0.25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</row>
    <row r="479" spans="1:20" x14ac:dyDescent="0.25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</row>
    <row r="480" spans="1:20" x14ac:dyDescent="0.25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</row>
    <row r="481" spans="1:20" x14ac:dyDescent="0.25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</row>
    <row r="482" spans="1:20" x14ac:dyDescent="0.25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</row>
    <row r="483" spans="1:20" x14ac:dyDescent="0.25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</row>
    <row r="484" spans="1:20" x14ac:dyDescent="0.25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</row>
    <row r="485" spans="1:20" x14ac:dyDescent="0.25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</row>
    <row r="486" spans="1:20" x14ac:dyDescent="0.25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</row>
    <row r="487" spans="1:20" x14ac:dyDescent="0.25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</row>
    <row r="488" spans="1:20" x14ac:dyDescent="0.25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</row>
    <row r="489" spans="1:20" x14ac:dyDescent="0.25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</row>
    <row r="490" spans="1:20" x14ac:dyDescent="0.25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</row>
    <row r="491" spans="1:20" x14ac:dyDescent="0.25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</row>
    <row r="492" spans="1:20" x14ac:dyDescent="0.25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</row>
    <row r="493" spans="1:20" x14ac:dyDescent="0.25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</row>
    <row r="494" spans="1:20" x14ac:dyDescent="0.25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</row>
    <row r="495" spans="1:20" x14ac:dyDescent="0.25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</row>
    <row r="496" spans="1:20" x14ac:dyDescent="0.25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</row>
    <row r="497" spans="1:20" x14ac:dyDescent="0.25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</row>
    <row r="498" spans="1:20" x14ac:dyDescent="0.25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</row>
    <row r="499" spans="1:20" x14ac:dyDescent="0.25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</row>
    <row r="500" spans="1:20" x14ac:dyDescent="0.25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</row>
    <row r="501" spans="1:20" x14ac:dyDescent="0.25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</row>
    <row r="502" spans="1:20" x14ac:dyDescent="0.25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</row>
    <row r="503" spans="1:20" x14ac:dyDescent="0.25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</row>
    <row r="504" spans="1:20" x14ac:dyDescent="0.25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</row>
    <row r="505" spans="1:20" x14ac:dyDescent="0.25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</row>
    <row r="506" spans="1:20" x14ac:dyDescent="0.25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</row>
    <row r="507" spans="1:20" x14ac:dyDescent="0.25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</row>
    <row r="508" spans="1:20" x14ac:dyDescent="0.25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</row>
    <row r="509" spans="1:20" x14ac:dyDescent="0.25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</row>
    <row r="510" spans="1:20" x14ac:dyDescent="0.25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</row>
    <row r="511" spans="1:20" x14ac:dyDescent="0.25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</row>
    <row r="512" spans="1:20" x14ac:dyDescent="0.25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</row>
    <row r="513" spans="1:20" x14ac:dyDescent="0.25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</row>
    <row r="514" spans="1:20" x14ac:dyDescent="0.25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</row>
    <row r="515" spans="1:20" x14ac:dyDescent="0.25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</row>
    <row r="516" spans="1:20" x14ac:dyDescent="0.25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</row>
    <row r="517" spans="1:20" x14ac:dyDescent="0.25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</row>
    <row r="518" spans="1:20" x14ac:dyDescent="0.25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</row>
    <row r="519" spans="1:20" x14ac:dyDescent="0.25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</row>
    <row r="520" spans="1:20" x14ac:dyDescent="0.25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</row>
    <row r="521" spans="1:20" x14ac:dyDescent="0.25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</row>
    <row r="522" spans="1:20" x14ac:dyDescent="0.25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</row>
    <row r="523" spans="1:20" x14ac:dyDescent="0.25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</row>
    <row r="524" spans="1:20" x14ac:dyDescent="0.25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</row>
    <row r="525" spans="1:20" x14ac:dyDescent="0.25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</row>
    <row r="526" spans="1:20" x14ac:dyDescent="0.25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</row>
    <row r="527" spans="1:20" x14ac:dyDescent="0.25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</row>
    <row r="528" spans="1:20" x14ac:dyDescent="0.25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</row>
    <row r="529" spans="1:20" x14ac:dyDescent="0.25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</row>
    <row r="530" spans="1:20" x14ac:dyDescent="0.25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</row>
    <row r="531" spans="1:20" x14ac:dyDescent="0.25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</row>
    <row r="532" spans="1:20" x14ac:dyDescent="0.25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</row>
    <row r="533" spans="1:20" x14ac:dyDescent="0.25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</row>
    <row r="534" spans="1:20" x14ac:dyDescent="0.25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</row>
    <row r="535" spans="1:20" x14ac:dyDescent="0.25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</row>
    <row r="536" spans="1:20" x14ac:dyDescent="0.25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</row>
    <row r="537" spans="1:20" x14ac:dyDescent="0.25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</row>
    <row r="538" spans="1:20" x14ac:dyDescent="0.25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</row>
    <row r="539" spans="1:20" x14ac:dyDescent="0.25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</row>
    <row r="540" spans="1:20" x14ac:dyDescent="0.25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</row>
    <row r="541" spans="1:20" x14ac:dyDescent="0.25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</row>
    <row r="542" spans="1:20" x14ac:dyDescent="0.25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</row>
    <row r="543" spans="1:20" x14ac:dyDescent="0.25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</row>
    <row r="544" spans="1:20" x14ac:dyDescent="0.25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</row>
    <row r="545" spans="1:20" x14ac:dyDescent="0.25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</row>
    <row r="546" spans="1:20" x14ac:dyDescent="0.25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</row>
    <row r="547" spans="1:20" x14ac:dyDescent="0.25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</row>
    <row r="548" spans="1:20" x14ac:dyDescent="0.25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</row>
    <row r="549" spans="1:20" x14ac:dyDescent="0.25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</row>
    <row r="550" spans="1:20" x14ac:dyDescent="0.25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</row>
    <row r="551" spans="1:20" x14ac:dyDescent="0.25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</row>
    <row r="552" spans="1:20" x14ac:dyDescent="0.25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</row>
    <row r="553" spans="1:20" x14ac:dyDescent="0.25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</row>
    <row r="554" spans="1:20" x14ac:dyDescent="0.25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</row>
    <row r="555" spans="1:20" x14ac:dyDescent="0.25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</row>
    <row r="556" spans="1:20" x14ac:dyDescent="0.25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</row>
    <row r="557" spans="1:20" x14ac:dyDescent="0.25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</row>
    <row r="558" spans="1:20" x14ac:dyDescent="0.25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</row>
    <row r="559" spans="1:20" x14ac:dyDescent="0.25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</row>
    <row r="560" spans="1:20" x14ac:dyDescent="0.25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</row>
    <row r="561" spans="1:20" x14ac:dyDescent="0.25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</row>
    <row r="562" spans="1:20" x14ac:dyDescent="0.25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</row>
    <row r="563" spans="1:20" x14ac:dyDescent="0.25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</row>
    <row r="564" spans="1:20" x14ac:dyDescent="0.25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</row>
    <row r="565" spans="1:20" x14ac:dyDescent="0.25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</row>
    <row r="566" spans="1:20" x14ac:dyDescent="0.25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</row>
    <row r="567" spans="1:20" x14ac:dyDescent="0.25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</row>
    <row r="568" spans="1:20" x14ac:dyDescent="0.25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</row>
    <row r="569" spans="1:20" x14ac:dyDescent="0.25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</row>
    <row r="570" spans="1:20" x14ac:dyDescent="0.25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</row>
    <row r="571" spans="1:20" x14ac:dyDescent="0.25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</row>
    <row r="572" spans="1:20" x14ac:dyDescent="0.25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</row>
    <row r="573" spans="1:20" x14ac:dyDescent="0.25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</row>
    <row r="574" spans="1:20" x14ac:dyDescent="0.25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</row>
    <row r="575" spans="1:20" x14ac:dyDescent="0.25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</row>
    <row r="576" spans="1:20" x14ac:dyDescent="0.25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</row>
    <row r="577" spans="1:20" x14ac:dyDescent="0.25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</row>
    <row r="578" spans="1:20" x14ac:dyDescent="0.25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</row>
    <row r="579" spans="1:20" x14ac:dyDescent="0.25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</row>
    <row r="580" spans="1:20" x14ac:dyDescent="0.25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</row>
    <row r="581" spans="1:20" x14ac:dyDescent="0.25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</row>
    <row r="582" spans="1:20" x14ac:dyDescent="0.25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</row>
    <row r="583" spans="1:20" x14ac:dyDescent="0.25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</row>
    <row r="584" spans="1:20" x14ac:dyDescent="0.25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</row>
    <row r="585" spans="1:20" x14ac:dyDescent="0.25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</row>
    <row r="586" spans="1:20" x14ac:dyDescent="0.25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</row>
    <row r="587" spans="1:20" x14ac:dyDescent="0.25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</row>
    <row r="588" spans="1:20" x14ac:dyDescent="0.25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</row>
    <row r="589" spans="1:20" x14ac:dyDescent="0.25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</row>
    <row r="590" spans="1:20" x14ac:dyDescent="0.25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</row>
    <row r="591" spans="1:20" x14ac:dyDescent="0.25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</row>
    <row r="592" spans="1:20" x14ac:dyDescent="0.25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</row>
    <row r="593" spans="1:20" x14ac:dyDescent="0.25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</row>
    <row r="594" spans="1:20" x14ac:dyDescent="0.25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</row>
    <row r="595" spans="1:20" x14ac:dyDescent="0.25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</row>
    <row r="596" spans="1:20" x14ac:dyDescent="0.25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</row>
    <row r="597" spans="1:20" x14ac:dyDescent="0.25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</row>
    <row r="598" spans="1:20" x14ac:dyDescent="0.25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</row>
    <row r="599" spans="1:20" x14ac:dyDescent="0.25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</row>
    <row r="600" spans="1:20" x14ac:dyDescent="0.25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</row>
    <row r="601" spans="1:20" x14ac:dyDescent="0.25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</row>
    <row r="602" spans="1:20" x14ac:dyDescent="0.25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</row>
    <row r="603" spans="1:20" x14ac:dyDescent="0.25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</row>
    <row r="604" spans="1:20" x14ac:dyDescent="0.25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</row>
    <row r="605" spans="1:20" x14ac:dyDescent="0.25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</row>
    <row r="606" spans="1:20" x14ac:dyDescent="0.25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</row>
    <row r="607" spans="1:20" x14ac:dyDescent="0.25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</row>
    <row r="608" spans="1:20" x14ac:dyDescent="0.25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</row>
    <row r="609" spans="1:20" x14ac:dyDescent="0.25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</row>
    <row r="610" spans="1:20" x14ac:dyDescent="0.25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</row>
    <row r="611" spans="1:20" x14ac:dyDescent="0.25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</row>
    <row r="612" spans="1:20" x14ac:dyDescent="0.25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</row>
    <row r="613" spans="1:20" x14ac:dyDescent="0.25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</row>
    <row r="614" spans="1:20" x14ac:dyDescent="0.25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</row>
    <row r="615" spans="1:20" x14ac:dyDescent="0.25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</row>
    <row r="616" spans="1:20" x14ac:dyDescent="0.25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</row>
    <row r="617" spans="1:20" x14ac:dyDescent="0.25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</row>
    <row r="618" spans="1:20" x14ac:dyDescent="0.25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</row>
    <row r="619" spans="1:20" x14ac:dyDescent="0.25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</row>
    <row r="620" spans="1:20" x14ac:dyDescent="0.25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</row>
    <row r="621" spans="1:20" x14ac:dyDescent="0.25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</row>
    <row r="622" spans="1:20" x14ac:dyDescent="0.25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</row>
    <row r="623" spans="1:20" x14ac:dyDescent="0.25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</row>
    <row r="624" spans="1:20" x14ac:dyDescent="0.25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</row>
    <row r="625" spans="1:20" x14ac:dyDescent="0.25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</row>
    <row r="626" spans="1:20" x14ac:dyDescent="0.25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</row>
    <row r="627" spans="1:20" x14ac:dyDescent="0.25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</row>
    <row r="628" spans="1:20" x14ac:dyDescent="0.25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</row>
    <row r="629" spans="1:20" x14ac:dyDescent="0.25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</row>
    <row r="630" spans="1:20" x14ac:dyDescent="0.25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</row>
    <row r="631" spans="1:20" x14ac:dyDescent="0.25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</row>
    <row r="632" spans="1:20" x14ac:dyDescent="0.25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</row>
    <row r="633" spans="1:20" x14ac:dyDescent="0.25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</row>
    <row r="634" spans="1:20" x14ac:dyDescent="0.25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</row>
    <row r="635" spans="1:20" x14ac:dyDescent="0.25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</row>
    <row r="636" spans="1:20" x14ac:dyDescent="0.25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</row>
    <row r="637" spans="1:20" x14ac:dyDescent="0.25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</row>
    <row r="638" spans="1:20" x14ac:dyDescent="0.25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</row>
    <row r="639" spans="1:20" x14ac:dyDescent="0.25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</row>
    <row r="640" spans="1:20" x14ac:dyDescent="0.25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</row>
    <row r="641" spans="1:20" x14ac:dyDescent="0.25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</row>
    <row r="642" spans="1:20" x14ac:dyDescent="0.25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</row>
    <row r="643" spans="1:20" x14ac:dyDescent="0.25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</row>
    <row r="644" spans="1:20" x14ac:dyDescent="0.25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</row>
    <row r="645" spans="1:20" x14ac:dyDescent="0.25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</row>
    <row r="646" spans="1:20" x14ac:dyDescent="0.25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</row>
    <row r="647" spans="1:20" x14ac:dyDescent="0.25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</row>
    <row r="648" spans="1:20" x14ac:dyDescent="0.25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</row>
    <row r="649" spans="1:20" x14ac:dyDescent="0.25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</row>
    <row r="650" spans="1:20" x14ac:dyDescent="0.25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</row>
    <row r="651" spans="1:20" x14ac:dyDescent="0.25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</row>
    <row r="652" spans="1:20" x14ac:dyDescent="0.25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</row>
    <row r="653" spans="1:20" x14ac:dyDescent="0.25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</row>
    <row r="654" spans="1:20" x14ac:dyDescent="0.25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</row>
    <row r="655" spans="1:20" x14ac:dyDescent="0.25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</row>
    <row r="656" spans="1:20" x14ac:dyDescent="0.25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</row>
    <row r="657" spans="1:20" x14ac:dyDescent="0.25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</row>
    <row r="658" spans="1:20" x14ac:dyDescent="0.25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</row>
    <row r="659" spans="1:20" x14ac:dyDescent="0.25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</row>
    <row r="660" spans="1:20" x14ac:dyDescent="0.25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</row>
    <row r="661" spans="1:20" x14ac:dyDescent="0.25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</row>
    <row r="662" spans="1:20" x14ac:dyDescent="0.25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</row>
    <row r="663" spans="1:20" x14ac:dyDescent="0.25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</row>
    <row r="664" spans="1:20" x14ac:dyDescent="0.25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</row>
    <row r="665" spans="1:20" x14ac:dyDescent="0.25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</row>
    <row r="666" spans="1:20" x14ac:dyDescent="0.25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</row>
    <row r="667" spans="1:20" x14ac:dyDescent="0.25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</row>
    <row r="668" spans="1:20" x14ac:dyDescent="0.25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</row>
    <row r="669" spans="1:20" x14ac:dyDescent="0.25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</row>
    <row r="670" spans="1:20" x14ac:dyDescent="0.25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</row>
    <row r="671" spans="1:20" x14ac:dyDescent="0.25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</row>
    <row r="672" spans="1:20" x14ac:dyDescent="0.25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</row>
    <row r="673" spans="1:20" x14ac:dyDescent="0.25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</row>
    <row r="674" spans="1:20" x14ac:dyDescent="0.25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</row>
    <row r="675" spans="1:20" x14ac:dyDescent="0.25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</row>
    <row r="676" spans="1:20" x14ac:dyDescent="0.25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</row>
    <row r="677" spans="1:20" x14ac:dyDescent="0.25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</row>
    <row r="678" spans="1:20" x14ac:dyDescent="0.25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</row>
    <row r="679" spans="1:20" x14ac:dyDescent="0.25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</row>
    <row r="680" spans="1:20" x14ac:dyDescent="0.25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</row>
    <row r="681" spans="1:20" x14ac:dyDescent="0.25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</row>
    <row r="682" spans="1:20" x14ac:dyDescent="0.25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</row>
    <row r="683" spans="1:20" x14ac:dyDescent="0.25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</row>
    <row r="684" spans="1:20" x14ac:dyDescent="0.25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</row>
    <row r="685" spans="1:20" x14ac:dyDescent="0.25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</row>
    <row r="686" spans="1:20" x14ac:dyDescent="0.25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</row>
    <row r="687" spans="1:20" x14ac:dyDescent="0.25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</row>
    <row r="688" spans="1:20" x14ac:dyDescent="0.25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</row>
    <row r="689" spans="1:20" x14ac:dyDescent="0.25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</row>
    <row r="690" spans="1:20" x14ac:dyDescent="0.25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</row>
    <row r="691" spans="1:20" x14ac:dyDescent="0.25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</row>
    <row r="692" spans="1:20" x14ac:dyDescent="0.25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</row>
    <row r="693" spans="1:20" x14ac:dyDescent="0.25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</row>
    <row r="694" spans="1:20" x14ac:dyDescent="0.25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</row>
    <row r="695" spans="1:20" x14ac:dyDescent="0.25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</row>
    <row r="696" spans="1:20" x14ac:dyDescent="0.25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</row>
    <row r="697" spans="1:20" x14ac:dyDescent="0.25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</row>
    <row r="698" spans="1:20" x14ac:dyDescent="0.25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</row>
    <row r="699" spans="1:20" x14ac:dyDescent="0.25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</row>
    <row r="700" spans="1:20" x14ac:dyDescent="0.25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</row>
    <row r="701" spans="1:20" x14ac:dyDescent="0.25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</row>
    <row r="702" spans="1:20" x14ac:dyDescent="0.25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</row>
    <row r="703" spans="1:20" x14ac:dyDescent="0.25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</row>
    <row r="704" spans="1:20" x14ac:dyDescent="0.25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</row>
    <row r="705" spans="1:20" x14ac:dyDescent="0.25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</row>
    <row r="706" spans="1:20" x14ac:dyDescent="0.25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</row>
    <row r="707" spans="1:20" x14ac:dyDescent="0.25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</row>
    <row r="708" spans="1:20" x14ac:dyDescent="0.25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</row>
    <row r="709" spans="1:20" x14ac:dyDescent="0.25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</row>
    <row r="710" spans="1:20" x14ac:dyDescent="0.25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</row>
    <row r="711" spans="1:20" x14ac:dyDescent="0.25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</row>
    <row r="712" spans="1:20" x14ac:dyDescent="0.25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</row>
    <row r="713" spans="1:20" x14ac:dyDescent="0.25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</row>
    <row r="714" spans="1:20" x14ac:dyDescent="0.25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</row>
    <row r="715" spans="1:20" x14ac:dyDescent="0.25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</row>
    <row r="716" spans="1:20" x14ac:dyDescent="0.25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</row>
    <row r="717" spans="1:20" x14ac:dyDescent="0.25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</row>
    <row r="718" spans="1:20" x14ac:dyDescent="0.25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</row>
    <row r="719" spans="1:20" x14ac:dyDescent="0.25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</row>
    <row r="720" spans="1:20" x14ac:dyDescent="0.25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</row>
    <row r="721" spans="1:20" x14ac:dyDescent="0.25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</row>
    <row r="722" spans="1:20" x14ac:dyDescent="0.25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</row>
    <row r="723" spans="1:20" x14ac:dyDescent="0.25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</row>
    <row r="724" spans="1:20" x14ac:dyDescent="0.25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</row>
    <row r="725" spans="1:20" x14ac:dyDescent="0.25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</row>
    <row r="726" spans="1:20" x14ac:dyDescent="0.25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</row>
    <row r="727" spans="1:20" x14ac:dyDescent="0.25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</row>
    <row r="728" spans="1:20" x14ac:dyDescent="0.25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</row>
    <row r="729" spans="1:20" x14ac:dyDescent="0.25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</row>
    <row r="730" spans="1:20" x14ac:dyDescent="0.25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</row>
    <row r="731" spans="1:20" x14ac:dyDescent="0.25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</row>
    <row r="732" spans="1:20" x14ac:dyDescent="0.25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</row>
    <row r="733" spans="1:20" x14ac:dyDescent="0.25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</row>
    <row r="734" spans="1:20" x14ac:dyDescent="0.25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</row>
    <row r="735" spans="1:20" x14ac:dyDescent="0.25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</row>
    <row r="736" spans="1:20" x14ac:dyDescent="0.25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</row>
    <row r="737" spans="1:20" x14ac:dyDescent="0.25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</row>
    <row r="738" spans="1:20" x14ac:dyDescent="0.25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</row>
    <row r="739" spans="1:20" x14ac:dyDescent="0.25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</row>
    <row r="740" spans="1:20" x14ac:dyDescent="0.25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</row>
    <row r="741" spans="1:20" x14ac:dyDescent="0.25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</row>
    <row r="742" spans="1:20" x14ac:dyDescent="0.25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</row>
    <row r="743" spans="1:20" x14ac:dyDescent="0.25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</row>
    <row r="744" spans="1:20" x14ac:dyDescent="0.25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</row>
    <row r="745" spans="1:20" x14ac:dyDescent="0.25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</row>
    <row r="746" spans="1:20" x14ac:dyDescent="0.25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</row>
    <row r="747" spans="1:20" x14ac:dyDescent="0.25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</row>
    <row r="748" spans="1:20" x14ac:dyDescent="0.25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</row>
    <row r="749" spans="1:20" x14ac:dyDescent="0.25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</row>
    <row r="750" spans="1:20" x14ac:dyDescent="0.25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</row>
    <row r="751" spans="1:20" x14ac:dyDescent="0.25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</row>
    <row r="752" spans="1:20" x14ac:dyDescent="0.25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</row>
    <row r="753" spans="1:20" x14ac:dyDescent="0.25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</row>
    <row r="754" spans="1:20" x14ac:dyDescent="0.25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</row>
    <row r="755" spans="1:20" x14ac:dyDescent="0.25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</row>
    <row r="756" spans="1:20" x14ac:dyDescent="0.25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</row>
    <row r="757" spans="1:20" x14ac:dyDescent="0.25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</row>
    <row r="758" spans="1:20" x14ac:dyDescent="0.25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</row>
    <row r="759" spans="1:20" x14ac:dyDescent="0.25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</row>
    <row r="760" spans="1:20" x14ac:dyDescent="0.25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</row>
    <row r="761" spans="1:20" x14ac:dyDescent="0.25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</row>
    <row r="762" spans="1:20" x14ac:dyDescent="0.25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</row>
    <row r="763" spans="1:20" x14ac:dyDescent="0.25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</row>
    <row r="764" spans="1:20" x14ac:dyDescent="0.25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</row>
    <row r="765" spans="1:20" x14ac:dyDescent="0.25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</row>
    <row r="766" spans="1:20" x14ac:dyDescent="0.25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</row>
    <row r="767" spans="1:20" x14ac:dyDescent="0.25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</row>
    <row r="768" spans="1:20" x14ac:dyDescent="0.25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</row>
    <row r="769" spans="1:20" x14ac:dyDescent="0.25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</row>
    <row r="770" spans="1:20" x14ac:dyDescent="0.25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</row>
    <row r="771" spans="1:20" x14ac:dyDescent="0.25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</row>
    <row r="772" spans="1:20" x14ac:dyDescent="0.25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</row>
    <row r="773" spans="1:20" x14ac:dyDescent="0.25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</row>
    <row r="774" spans="1:20" x14ac:dyDescent="0.25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</row>
    <row r="775" spans="1:20" x14ac:dyDescent="0.25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</row>
    <row r="776" spans="1:20" x14ac:dyDescent="0.25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</row>
    <row r="777" spans="1:20" x14ac:dyDescent="0.25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</row>
    <row r="778" spans="1:20" x14ac:dyDescent="0.25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</row>
    <row r="779" spans="1:20" x14ac:dyDescent="0.25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</row>
    <row r="780" spans="1:20" x14ac:dyDescent="0.25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</row>
    <row r="781" spans="1:20" x14ac:dyDescent="0.25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</row>
    <row r="782" spans="1:20" x14ac:dyDescent="0.25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</row>
    <row r="783" spans="1:20" x14ac:dyDescent="0.25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</row>
    <row r="784" spans="1:20" x14ac:dyDescent="0.25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</row>
    <row r="785" spans="1:20" x14ac:dyDescent="0.25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</row>
    <row r="786" spans="1:20" x14ac:dyDescent="0.25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</row>
    <row r="787" spans="1:20" x14ac:dyDescent="0.25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</row>
    <row r="788" spans="1:20" x14ac:dyDescent="0.25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</row>
    <row r="789" spans="1:20" x14ac:dyDescent="0.25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</row>
    <row r="790" spans="1:20" x14ac:dyDescent="0.25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</row>
    <row r="791" spans="1:20" x14ac:dyDescent="0.25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</row>
    <row r="792" spans="1:20" x14ac:dyDescent="0.25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</row>
    <row r="793" spans="1:20" x14ac:dyDescent="0.25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</row>
    <row r="794" spans="1:20" x14ac:dyDescent="0.25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</row>
    <row r="795" spans="1:20" x14ac:dyDescent="0.25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</row>
    <row r="796" spans="1:20" x14ac:dyDescent="0.25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</row>
    <row r="797" spans="1:20" x14ac:dyDescent="0.25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</row>
    <row r="798" spans="1:20" x14ac:dyDescent="0.25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</row>
    <row r="799" spans="1:20" x14ac:dyDescent="0.25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</row>
    <row r="800" spans="1:20" x14ac:dyDescent="0.25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</row>
    <row r="801" spans="1:20" x14ac:dyDescent="0.25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</row>
    <row r="802" spans="1:20" x14ac:dyDescent="0.25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</row>
    <row r="803" spans="1:20" x14ac:dyDescent="0.25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</row>
    <row r="804" spans="1:20" x14ac:dyDescent="0.25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</row>
    <row r="805" spans="1:20" x14ac:dyDescent="0.25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</row>
    <row r="806" spans="1:20" x14ac:dyDescent="0.25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</row>
    <row r="807" spans="1:20" x14ac:dyDescent="0.25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</row>
    <row r="808" spans="1:20" x14ac:dyDescent="0.25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</row>
    <row r="809" spans="1:20" x14ac:dyDescent="0.25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</row>
    <row r="810" spans="1:20" x14ac:dyDescent="0.25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</row>
    <row r="811" spans="1:20" x14ac:dyDescent="0.25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</row>
    <row r="812" spans="1:20" x14ac:dyDescent="0.25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</row>
    <row r="813" spans="1:20" x14ac:dyDescent="0.25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</row>
    <row r="814" spans="1:20" x14ac:dyDescent="0.25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</row>
    <row r="815" spans="1:20" x14ac:dyDescent="0.25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</row>
    <row r="816" spans="1:20" x14ac:dyDescent="0.25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</row>
    <row r="817" spans="1:20" x14ac:dyDescent="0.25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</row>
    <row r="818" spans="1:20" x14ac:dyDescent="0.25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</row>
    <row r="819" spans="1:20" x14ac:dyDescent="0.25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</row>
    <row r="820" spans="1:20" x14ac:dyDescent="0.25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</row>
    <row r="821" spans="1:20" x14ac:dyDescent="0.25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</row>
    <row r="822" spans="1:20" x14ac:dyDescent="0.25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</row>
    <row r="823" spans="1:20" x14ac:dyDescent="0.25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</row>
    <row r="824" spans="1:20" x14ac:dyDescent="0.25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</row>
    <row r="825" spans="1:20" x14ac:dyDescent="0.25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</row>
    <row r="826" spans="1:20" x14ac:dyDescent="0.25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</row>
    <row r="827" spans="1:20" x14ac:dyDescent="0.25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</row>
    <row r="828" spans="1:20" x14ac:dyDescent="0.25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</row>
    <row r="829" spans="1:20" x14ac:dyDescent="0.25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</row>
    <row r="830" spans="1:20" x14ac:dyDescent="0.25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</row>
    <row r="831" spans="1:20" x14ac:dyDescent="0.25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</row>
    <row r="832" spans="1:20" x14ac:dyDescent="0.25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</row>
    <row r="833" spans="1:20" x14ac:dyDescent="0.25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</row>
    <row r="834" spans="1:20" x14ac:dyDescent="0.25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</row>
    <row r="835" spans="1:20" x14ac:dyDescent="0.25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</row>
    <row r="836" spans="1:20" x14ac:dyDescent="0.25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</row>
    <row r="837" spans="1:20" x14ac:dyDescent="0.25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</row>
    <row r="838" spans="1:20" x14ac:dyDescent="0.25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</row>
    <row r="839" spans="1:20" x14ac:dyDescent="0.25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</row>
    <row r="840" spans="1:20" x14ac:dyDescent="0.25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</row>
    <row r="841" spans="1:20" x14ac:dyDescent="0.25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</row>
    <row r="842" spans="1:20" x14ac:dyDescent="0.25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</row>
    <row r="843" spans="1:20" x14ac:dyDescent="0.25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</row>
    <row r="844" spans="1:20" x14ac:dyDescent="0.25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</row>
    <row r="845" spans="1:20" x14ac:dyDescent="0.25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</row>
    <row r="846" spans="1:20" x14ac:dyDescent="0.25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</row>
    <row r="847" spans="1:20" x14ac:dyDescent="0.25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</row>
    <row r="848" spans="1:20" x14ac:dyDescent="0.25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</row>
    <row r="849" spans="1:20" x14ac:dyDescent="0.25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</row>
    <row r="850" spans="1:20" x14ac:dyDescent="0.25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</row>
    <row r="851" spans="1:20" x14ac:dyDescent="0.25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</row>
    <row r="852" spans="1:20" x14ac:dyDescent="0.25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</row>
    <row r="853" spans="1:20" x14ac:dyDescent="0.25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</row>
    <row r="854" spans="1:20" x14ac:dyDescent="0.25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</row>
    <row r="855" spans="1:20" x14ac:dyDescent="0.25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</row>
    <row r="856" spans="1:20" x14ac:dyDescent="0.25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</row>
    <row r="857" spans="1:20" x14ac:dyDescent="0.25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</row>
    <row r="858" spans="1:20" x14ac:dyDescent="0.25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</row>
    <row r="859" spans="1:20" x14ac:dyDescent="0.25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</row>
    <row r="860" spans="1:20" x14ac:dyDescent="0.25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</row>
    <row r="861" spans="1:20" x14ac:dyDescent="0.25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</row>
    <row r="862" spans="1:20" x14ac:dyDescent="0.25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</row>
    <row r="863" spans="1:20" x14ac:dyDescent="0.25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</row>
    <row r="864" spans="1:20" x14ac:dyDescent="0.25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</row>
    <row r="865" spans="1:20" x14ac:dyDescent="0.25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</row>
    <row r="866" spans="1:20" x14ac:dyDescent="0.25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</row>
    <row r="867" spans="1:20" x14ac:dyDescent="0.25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</row>
    <row r="868" spans="1:20" x14ac:dyDescent="0.25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</row>
    <row r="869" spans="1:20" x14ac:dyDescent="0.25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</row>
    <row r="870" spans="1:20" x14ac:dyDescent="0.25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</row>
    <row r="871" spans="1:20" x14ac:dyDescent="0.25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</row>
    <row r="872" spans="1:20" x14ac:dyDescent="0.25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</row>
    <row r="873" spans="1:20" x14ac:dyDescent="0.25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</row>
    <row r="874" spans="1:20" x14ac:dyDescent="0.25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</row>
    <row r="875" spans="1:20" x14ac:dyDescent="0.25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</row>
    <row r="876" spans="1:20" x14ac:dyDescent="0.25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</row>
    <row r="877" spans="1:20" x14ac:dyDescent="0.25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</row>
    <row r="878" spans="1:20" x14ac:dyDescent="0.25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</row>
    <row r="879" spans="1:20" x14ac:dyDescent="0.25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</row>
    <row r="880" spans="1:20" x14ac:dyDescent="0.25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</row>
    <row r="881" spans="1:20" x14ac:dyDescent="0.25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</row>
    <row r="882" spans="1:20" x14ac:dyDescent="0.25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</row>
    <row r="883" spans="1:20" x14ac:dyDescent="0.25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</row>
    <row r="884" spans="1:20" x14ac:dyDescent="0.25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</row>
    <row r="885" spans="1:20" x14ac:dyDescent="0.25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</row>
    <row r="886" spans="1:20" x14ac:dyDescent="0.25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</row>
    <row r="887" spans="1:20" x14ac:dyDescent="0.25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</row>
    <row r="888" spans="1:20" x14ac:dyDescent="0.25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</row>
    <row r="889" spans="1:20" x14ac:dyDescent="0.25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</row>
    <row r="890" spans="1:20" x14ac:dyDescent="0.25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</row>
    <row r="891" spans="1:20" x14ac:dyDescent="0.25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</row>
    <row r="892" spans="1:20" x14ac:dyDescent="0.25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</row>
    <row r="893" spans="1:20" x14ac:dyDescent="0.25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</row>
    <row r="894" spans="1:20" x14ac:dyDescent="0.25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</row>
    <row r="895" spans="1:20" x14ac:dyDescent="0.25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</row>
    <row r="896" spans="1:20" x14ac:dyDescent="0.25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</row>
    <row r="897" spans="1:20" x14ac:dyDescent="0.25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</row>
    <row r="898" spans="1:20" x14ac:dyDescent="0.25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</row>
    <row r="899" spans="1:20" x14ac:dyDescent="0.25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</row>
    <row r="900" spans="1:20" x14ac:dyDescent="0.25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</row>
    <row r="901" spans="1:20" x14ac:dyDescent="0.25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</row>
    <row r="902" spans="1:20" x14ac:dyDescent="0.25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</row>
    <row r="903" spans="1:20" x14ac:dyDescent="0.25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</row>
    <row r="904" spans="1:20" x14ac:dyDescent="0.25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</row>
    <row r="905" spans="1:20" x14ac:dyDescent="0.25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</row>
    <row r="906" spans="1:20" x14ac:dyDescent="0.25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</row>
    <row r="907" spans="1:20" x14ac:dyDescent="0.25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</row>
    <row r="908" spans="1:20" x14ac:dyDescent="0.25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</row>
    <row r="909" spans="1:20" x14ac:dyDescent="0.25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</row>
    <row r="910" spans="1:20" x14ac:dyDescent="0.25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</row>
    <row r="911" spans="1:20" x14ac:dyDescent="0.25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</row>
    <row r="912" spans="1:20" x14ac:dyDescent="0.25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</row>
    <row r="913" spans="1:20" x14ac:dyDescent="0.25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</row>
    <row r="914" spans="1:20" x14ac:dyDescent="0.25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</row>
    <row r="915" spans="1:20" x14ac:dyDescent="0.25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</row>
    <row r="916" spans="1:20" x14ac:dyDescent="0.25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</row>
    <row r="917" spans="1:20" x14ac:dyDescent="0.25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</row>
    <row r="918" spans="1:20" x14ac:dyDescent="0.25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</row>
    <row r="919" spans="1:20" x14ac:dyDescent="0.25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</row>
    <row r="920" spans="1:20" x14ac:dyDescent="0.25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</row>
    <row r="921" spans="1:20" x14ac:dyDescent="0.25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</row>
    <row r="922" spans="1:20" x14ac:dyDescent="0.25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</row>
    <row r="923" spans="1:20" x14ac:dyDescent="0.25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</row>
    <row r="924" spans="1:20" x14ac:dyDescent="0.25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</row>
    <row r="925" spans="1:20" x14ac:dyDescent="0.25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</row>
    <row r="926" spans="1:20" x14ac:dyDescent="0.25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</row>
    <row r="927" spans="1:20" x14ac:dyDescent="0.25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</row>
    <row r="928" spans="1:20" x14ac:dyDescent="0.25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</row>
    <row r="929" spans="1:20" x14ac:dyDescent="0.25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</row>
    <row r="930" spans="1:20" x14ac:dyDescent="0.25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</row>
    <row r="931" spans="1:20" x14ac:dyDescent="0.25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</row>
    <row r="932" spans="1:20" x14ac:dyDescent="0.25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</row>
    <row r="933" spans="1:20" x14ac:dyDescent="0.25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</row>
    <row r="934" spans="1:20" x14ac:dyDescent="0.25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</row>
    <row r="935" spans="1:20" x14ac:dyDescent="0.25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</row>
    <row r="936" spans="1:20" x14ac:dyDescent="0.25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</row>
    <row r="937" spans="1:20" x14ac:dyDescent="0.25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</row>
    <row r="938" spans="1:20" x14ac:dyDescent="0.25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</row>
    <row r="939" spans="1:20" x14ac:dyDescent="0.25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</row>
    <row r="940" spans="1:20" x14ac:dyDescent="0.25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</row>
    <row r="941" spans="1:20" x14ac:dyDescent="0.25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</row>
    <row r="942" spans="1:20" x14ac:dyDescent="0.25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</row>
    <row r="943" spans="1:20" x14ac:dyDescent="0.25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</row>
    <row r="944" spans="1:20" x14ac:dyDescent="0.25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</row>
    <row r="945" spans="1:20" x14ac:dyDescent="0.25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</row>
    <row r="946" spans="1:20" x14ac:dyDescent="0.25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</row>
    <row r="947" spans="1:20" x14ac:dyDescent="0.25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</row>
    <row r="948" spans="1:20" x14ac:dyDescent="0.25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</row>
    <row r="949" spans="1:20" x14ac:dyDescent="0.25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</row>
    <row r="950" spans="1:20" x14ac:dyDescent="0.25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</row>
    <row r="951" spans="1:20" x14ac:dyDescent="0.25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</row>
    <row r="952" spans="1:20" x14ac:dyDescent="0.25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</row>
    <row r="953" spans="1:20" x14ac:dyDescent="0.25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</row>
    <row r="954" spans="1:20" x14ac:dyDescent="0.25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</row>
    <row r="955" spans="1:20" x14ac:dyDescent="0.25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</row>
    <row r="956" spans="1:20" x14ac:dyDescent="0.25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</row>
    <row r="957" spans="1:20" x14ac:dyDescent="0.25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</row>
    <row r="958" spans="1:20" x14ac:dyDescent="0.25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</row>
    <row r="959" spans="1:20" x14ac:dyDescent="0.25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</row>
    <row r="960" spans="1:20" x14ac:dyDescent="0.25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</row>
    <row r="961" spans="1:20" x14ac:dyDescent="0.25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</row>
    <row r="962" spans="1:20" x14ac:dyDescent="0.25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</row>
    <row r="963" spans="1:20" x14ac:dyDescent="0.25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</row>
    <row r="964" spans="1:20" x14ac:dyDescent="0.25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</row>
    <row r="965" spans="1:20" x14ac:dyDescent="0.25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</row>
    <row r="966" spans="1:20" x14ac:dyDescent="0.25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</row>
    <row r="967" spans="1:20" x14ac:dyDescent="0.25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</row>
    <row r="968" spans="1:20" x14ac:dyDescent="0.25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</row>
    <row r="969" spans="1:20" x14ac:dyDescent="0.25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</row>
    <row r="970" spans="1:20" x14ac:dyDescent="0.25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</row>
    <row r="971" spans="1:20" x14ac:dyDescent="0.25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</row>
    <row r="972" spans="1:20" x14ac:dyDescent="0.25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</row>
    <row r="973" spans="1:20" x14ac:dyDescent="0.25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</row>
    <row r="974" spans="1:20" x14ac:dyDescent="0.25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</row>
    <row r="975" spans="1:20" x14ac:dyDescent="0.25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</row>
    <row r="976" spans="1:20" x14ac:dyDescent="0.25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</row>
    <row r="977" spans="1:20" x14ac:dyDescent="0.25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</row>
    <row r="978" spans="1:20" x14ac:dyDescent="0.25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</row>
    <row r="979" spans="1:20" x14ac:dyDescent="0.25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</row>
    <row r="980" spans="1:20" x14ac:dyDescent="0.25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</row>
    <row r="981" spans="1:20" x14ac:dyDescent="0.25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</row>
    <row r="982" spans="1:20" x14ac:dyDescent="0.25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</row>
    <row r="983" spans="1:20" x14ac:dyDescent="0.25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</row>
    <row r="984" spans="1:20" x14ac:dyDescent="0.25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</row>
    <row r="985" spans="1:20" x14ac:dyDescent="0.25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</row>
    <row r="986" spans="1:20" x14ac:dyDescent="0.25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</row>
    <row r="987" spans="1:20" x14ac:dyDescent="0.25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</row>
    <row r="988" spans="1:20" x14ac:dyDescent="0.25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</row>
    <row r="989" spans="1:20" x14ac:dyDescent="0.25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</row>
    <row r="990" spans="1:20" x14ac:dyDescent="0.25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</row>
    <row r="991" spans="1:20" x14ac:dyDescent="0.25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</row>
    <row r="992" spans="1:20" x14ac:dyDescent="0.25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</row>
    <row r="993" spans="1:20" x14ac:dyDescent="0.25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</row>
    <row r="994" spans="1:20" x14ac:dyDescent="0.25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</row>
    <row r="995" spans="1:20" x14ac:dyDescent="0.25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</row>
    <row r="996" spans="1:20" x14ac:dyDescent="0.25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</row>
    <row r="997" spans="1:20" x14ac:dyDescent="0.25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</row>
  </sheetData>
  <mergeCells count="11">
    <mergeCell ref="B3:E3"/>
    <mergeCell ref="F3:G3"/>
    <mergeCell ref="J3:J4"/>
    <mergeCell ref="D18:E18"/>
    <mergeCell ref="F19:G19"/>
    <mergeCell ref="H19:I19"/>
    <mergeCell ref="B20:B21"/>
    <mergeCell ref="B23:B24"/>
    <mergeCell ref="A46:A47"/>
    <mergeCell ref="A48:A51"/>
    <mergeCell ref="E59:F59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opLeftCell="A46" workbookViewId="0">
      <selection activeCell="G44" sqref="G44"/>
    </sheetView>
  </sheetViews>
  <sheetFormatPr defaultRowHeight="15" x14ac:dyDescent="0.25"/>
  <cols>
    <col min="1" max="1" width="4.28515625" bestFit="1" customWidth="1"/>
    <col min="2" max="2" width="39.5703125" style="315" customWidth="1"/>
    <col min="3" max="3" width="3.28515625" bestFit="1" customWidth="1"/>
    <col min="4" max="4" width="9.85546875" style="326" customWidth="1"/>
    <col min="5" max="5" width="7.7109375" bestFit="1" customWidth="1"/>
    <col min="6" max="6" width="8.7109375" bestFit="1" customWidth="1"/>
    <col min="7" max="7" width="7.85546875" bestFit="1" customWidth="1"/>
    <col min="8" max="8" width="9.7109375" bestFit="1" customWidth="1"/>
    <col min="9" max="9" width="9.85546875" style="338" customWidth="1"/>
    <col min="10" max="10" width="7.7109375" style="303" bestFit="1" customWidth="1"/>
    <col min="11" max="11" width="8.7109375" style="303" bestFit="1" customWidth="1"/>
    <col min="12" max="12" width="6.5703125" style="303" bestFit="1" customWidth="1"/>
    <col min="13" max="13" width="8.7109375" style="303" bestFit="1" customWidth="1"/>
    <col min="14" max="14" width="10.28515625" bestFit="1" customWidth="1"/>
    <col min="15" max="15" width="11.85546875" style="254" bestFit="1" customWidth="1"/>
  </cols>
  <sheetData>
    <row r="1" spans="1:13" ht="48.75" thickBot="1" x14ac:dyDescent="0.3">
      <c r="A1" s="250" t="s">
        <v>237</v>
      </c>
      <c r="B1" s="251" t="s">
        <v>238</v>
      </c>
      <c r="C1" s="251" t="s">
        <v>239</v>
      </c>
      <c r="D1" s="252" t="s">
        <v>316</v>
      </c>
      <c r="E1" s="253" t="s">
        <v>240</v>
      </c>
      <c r="F1" s="253" t="s">
        <v>317</v>
      </c>
      <c r="G1" s="253" t="s">
        <v>318</v>
      </c>
      <c r="H1" s="253" t="s">
        <v>319</v>
      </c>
      <c r="I1" s="269" t="s">
        <v>335</v>
      </c>
      <c r="J1" s="328" t="s">
        <v>240</v>
      </c>
      <c r="K1" s="328" t="s">
        <v>241</v>
      </c>
      <c r="L1" s="328" t="s">
        <v>242</v>
      </c>
      <c r="M1" s="328" t="s">
        <v>243</v>
      </c>
    </row>
    <row r="2" spans="1:13" ht="15.75" thickBot="1" x14ac:dyDescent="0.3">
      <c r="A2" s="255">
        <v>11</v>
      </c>
      <c r="B2" s="256" t="s">
        <v>244</v>
      </c>
      <c r="C2" s="257"/>
      <c r="D2" s="252"/>
      <c r="E2" s="258"/>
      <c r="F2" s="259">
        <f>+F3+F4+F5</f>
        <v>6353550</v>
      </c>
      <c r="G2" s="259">
        <f>+G3+G4+G5</f>
        <v>0</v>
      </c>
      <c r="H2" s="259">
        <f>+H3+H4+H5</f>
        <v>6353550</v>
      </c>
      <c r="I2" s="269"/>
      <c r="J2" s="270"/>
      <c r="K2" s="271">
        <f>+K3+K4+K5</f>
        <v>4698860</v>
      </c>
      <c r="L2" s="271">
        <f>+L3+L4+L5</f>
        <v>0</v>
      </c>
      <c r="M2" s="271">
        <f>+M3+M4+M5</f>
        <v>4698860</v>
      </c>
    </row>
    <row r="3" spans="1:13" ht="15.75" thickBot="1" x14ac:dyDescent="0.3">
      <c r="A3" s="260">
        <v>111</v>
      </c>
      <c r="B3" s="261" t="s">
        <v>245</v>
      </c>
      <c r="C3" s="262" t="s">
        <v>246</v>
      </c>
      <c r="D3" s="263">
        <v>225000</v>
      </c>
      <c r="E3" s="264">
        <v>26.5</v>
      </c>
      <c r="F3" s="265">
        <f>+D3*E3</f>
        <v>5962500</v>
      </c>
      <c r="G3" s="264"/>
      <c r="H3" s="265">
        <f t="shared" ref="H3:H23" si="0">+F3+G3</f>
        <v>5962500</v>
      </c>
      <c r="I3" s="329">
        <f>11656+47550+56422+32284+30403+40021+2450</f>
        <v>220786</v>
      </c>
      <c r="J3" s="272">
        <v>20</v>
      </c>
      <c r="K3" s="298">
        <f>+I3*J3</f>
        <v>4415720</v>
      </c>
      <c r="L3" s="272"/>
      <c r="M3" s="298">
        <f t="shared" ref="M3:M34" si="1">+K3+L3</f>
        <v>4415720</v>
      </c>
    </row>
    <row r="4" spans="1:13" ht="15.75" thickBot="1" x14ac:dyDescent="0.3">
      <c r="A4" s="260">
        <v>112</v>
      </c>
      <c r="B4" s="261" t="s">
        <v>247</v>
      </c>
      <c r="C4" s="262" t="s">
        <v>246</v>
      </c>
      <c r="D4" s="263">
        <v>4500</v>
      </c>
      <c r="E4" s="264">
        <v>79</v>
      </c>
      <c r="F4" s="265">
        <f>+D4*E4</f>
        <v>355500</v>
      </c>
      <c r="G4" s="264"/>
      <c r="H4" s="265">
        <f t="shared" si="0"/>
        <v>355500</v>
      </c>
      <c r="I4" s="329">
        <f>1724+2545</f>
        <v>4269</v>
      </c>
      <c r="J4" s="272">
        <v>60</v>
      </c>
      <c r="K4" s="298">
        <f>+I4*J4</f>
        <v>256140</v>
      </c>
      <c r="L4" s="272"/>
      <c r="M4" s="298">
        <f t="shared" si="1"/>
        <v>256140</v>
      </c>
    </row>
    <row r="5" spans="1:13" ht="15.75" thickBot="1" x14ac:dyDescent="0.3">
      <c r="A5" s="260">
        <v>113</v>
      </c>
      <c r="B5" s="261" t="s">
        <v>248</v>
      </c>
      <c r="C5" s="262" t="s">
        <v>246</v>
      </c>
      <c r="D5" s="263">
        <f>450</f>
        <v>450</v>
      </c>
      <c r="E5" s="264">
        <v>79</v>
      </c>
      <c r="F5" s="265">
        <f>+D5*E5</f>
        <v>35550</v>
      </c>
      <c r="G5" s="264"/>
      <c r="H5" s="265">
        <f t="shared" si="0"/>
        <v>35550</v>
      </c>
      <c r="I5" s="329">
        <f>450</f>
        <v>450</v>
      </c>
      <c r="J5" s="272">
        <v>60</v>
      </c>
      <c r="K5" s="298">
        <f>+I5*J5</f>
        <v>27000</v>
      </c>
      <c r="L5" s="272"/>
      <c r="M5" s="298">
        <f t="shared" si="1"/>
        <v>27000</v>
      </c>
    </row>
    <row r="6" spans="1:13" ht="15.75" thickBot="1" x14ac:dyDescent="0.3">
      <c r="A6" s="266">
        <v>12</v>
      </c>
      <c r="B6" s="267" t="s">
        <v>249</v>
      </c>
      <c r="C6" s="268" t="s">
        <v>250</v>
      </c>
      <c r="D6" s="269">
        <v>80</v>
      </c>
      <c r="E6" s="270">
        <v>16525</v>
      </c>
      <c r="F6" s="271">
        <f>+D6*E6</f>
        <v>1322000</v>
      </c>
      <c r="G6" s="272"/>
      <c r="H6" s="271">
        <f>+F6+G6</f>
        <v>1322000</v>
      </c>
      <c r="I6" s="269">
        <f>5+26.5+3+5.5</f>
        <v>40</v>
      </c>
      <c r="J6" s="270">
        <v>12500</v>
      </c>
      <c r="K6" s="271">
        <f>+I6*J6</f>
        <v>500000</v>
      </c>
      <c r="L6" s="272"/>
      <c r="M6" s="271">
        <f t="shared" si="1"/>
        <v>500000</v>
      </c>
    </row>
    <row r="7" spans="1:13" ht="15.75" thickBot="1" x14ac:dyDescent="0.3">
      <c r="A7" s="255">
        <v>13</v>
      </c>
      <c r="B7" s="256" t="s">
        <v>251</v>
      </c>
      <c r="C7" s="257"/>
      <c r="D7" s="273"/>
      <c r="E7" s="258"/>
      <c r="F7" s="259">
        <f>SUM(F8:F18)</f>
        <v>9486150</v>
      </c>
      <c r="G7" s="259">
        <f>SUM(G8:G18)</f>
        <v>1339500</v>
      </c>
      <c r="H7" s="259">
        <f>+F7+G7</f>
        <v>10825650</v>
      </c>
      <c r="I7" s="286"/>
      <c r="J7" s="270"/>
      <c r="K7" s="271">
        <f>SUM(K8:K18)</f>
        <v>5402830</v>
      </c>
      <c r="L7" s="271">
        <f>SUM(L8:L18)</f>
        <v>393684</v>
      </c>
      <c r="M7" s="271">
        <f t="shared" si="1"/>
        <v>5796514</v>
      </c>
    </row>
    <row r="8" spans="1:13" ht="15.75" thickBot="1" x14ac:dyDescent="0.3">
      <c r="A8" s="260">
        <v>131</v>
      </c>
      <c r="B8" s="261" t="s">
        <v>252</v>
      </c>
      <c r="C8" s="262" t="s">
        <v>187</v>
      </c>
      <c r="D8" s="274">
        <v>1000</v>
      </c>
      <c r="E8" s="264">
        <v>200</v>
      </c>
      <c r="F8" s="265">
        <f>+D8*E8</f>
        <v>200000</v>
      </c>
      <c r="G8" s="265"/>
      <c r="H8" s="265">
        <f t="shared" si="0"/>
        <v>200000</v>
      </c>
      <c r="I8" s="330">
        <f>350+462</f>
        <v>812</v>
      </c>
      <c r="J8" s="272">
        <v>170</v>
      </c>
      <c r="K8" s="298">
        <f>+I8*J8</f>
        <v>138040</v>
      </c>
      <c r="L8" s="298"/>
      <c r="M8" s="298">
        <f t="shared" si="1"/>
        <v>138040</v>
      </c>
    </row>
    <row r="9" spans="1:13" ht="15.75" thickBot="1" x14ac:dyDescent="0.3">
      <c r="A9" s="260">
        <v>132</v>
      </c>
      <c r="B9" s="261" t="s">
        <v>253</v>
      </c>
      <c r="C9" s="262" t="s">
        <v>187</v>
      </c>
      <c r="D9" s="274">
        <v>1500</v>
      </c>
      <c r="E9" s="264">
        <v>120</v>
      </c>
      <c r="F9" s="265">
        <f t="shared" ref="F9:F14" si="2">+D9*E9</f>
        <v>180000</v>
      </c>
      <c r="G9" s="265"/>
      <c r="H9" s="265">
        <f t="shared" si="0"/>
        <v>180000</v>
      </c>
      <c r="I9" s="330">
        <f>1134+194</f>
        <v>1328</v>
      </c>
      <c r="J9" s="272">
        <v>100</v>
      </c>
      <c r="K9" s="298">
        <f t="shared" ref="K9:K18" si="3">+I9*J9</f>
        <v>132800</v>
      </c>
      <c r="L9" s="298"/>
      <c r="M9" s="298">
        <f t="shared" si="1"/>
        <v>132800</v>
      </c>
    </row>
    <row r="10" spans="1:13" ht="15.75" thickBot="1" x14ac:dyDescent="0.3">
      <c r="A10" s="260">
        <v>133</v>
      </c>
      <c r="B10" s="261" t="s">
        <v>254</v>
      </c>
      <c r="C10" s="262" t="s">
        <v>187</v>
      </c>
      <c r="D10" s="274"/>
      <c r="E10" s="264">
        <v>700</v>
      </c>
      <c r="F10" s="265">
        <f t="shared" si="2"/>
        <v>0</v>
      </c>
      <c r="G10" s="265"/>
      <c r="H10" s="265">
        <f t="shared" si="0"/>
        <v>0</v>
      </c>
      <c r="I10" s="330"/>
      <c r="J10" s="272">
        <v>700</v>
      </c>
      <c r="K10" s="298">
        <f t="shared" si="3"/>
        <v>0</v>
      </c>
      <c r="L10" s="298"/>
      <c r="M10" s="298">
        <f t="shared" si="1"/>
        <v>0</v>
      </c>
    </row>
    <row r="11" spans="1:13" ht="15.75" thickBot="1" x14ac:dyDescent="0.3">
      <c r="A11" s="260">
        <v>134</v>
      </c>
      <c r="B11" s="261" t="s">
        <v>255</v>
      </c>
      <c r="C11" s="262" t="s">
        <v>187</v>
      </c>
      <c r="D11" s="274">
        <v>50</v>
      </c>
      <c r="E11" s="265">
        <v>11900</v>
      </c>
      <c r="F11" s="265">
        <f t="shared" si="2"/>
        <v>595000</v>
      </c>
      <c r="G11" s="265">
        <f>13790*D11</f>
        <v>689500</v>
      </c>
      <c r="H11" s="265">
        <f t="shared" si="0"/>
        <v>1284500</v>
      </c>
      <c r="I11" s="330">
        <v>0</v>
      </c>
      <c r="J11" s="298">
        <v>9000</v>
      </c>
      <c r="K11" s="298">
        <f t="shared" si="3"/>
        <v>0</v>
      </c>
      <c r="L11" s="298"/>
      <c r="M11" s="298">
        <f t="shared" si="1"/>
        <v>0</v>
      </c>
    </row>
    <row r="12" spans="1:13" ht="24.75" thickBot="1" x14ac:dyDescent="0.3">
      <c r="A12" s="260">
        <v>135</v>
      </c>
      <c r="B12" s="261" t="s">
        <v>256</v>
      </c>
      <c r="C12" s="262" t="s">
        <v>250</v>
      </c>
      <c r="D12" s="274">
        <v>750</v>
      </c>
      <c r="E12" s="264">
        <v>3345</v>
      </c>
      <c r="F12" s="265">
        <f t="shared" si="2"/>
        <v>2508750</v>
      </c>
      <c r="G12" s="264"/>
      <c r="H12" s="265">
        <f t="shared" si="0"/>
        <v>2508750</v>
      </c>
      <c r="I12" s="330">
        <f>40.5+41.5+87+76+51+112+40+54+67.5+6</f>
        <v>575.5</v>
      </c>
      <c r="J12" s="272">
        <v>2530</v>
      </c>
      <c r="K12" s="298">
        <f t="shared" si="3"/>
        <v>1456015</v>
      </c>
      <c r="L12" s="272"/>
      <c r="M12" s="298">
        <f t="shared" si="1"/>
        <v>1456015</v>
      </c>
    </row>
    <row r="13" spans="1:13" ht="15.75" thickBot="1" x14ac:dyDescent="0.3">
      <c r="A13" s="260">
        <v>136</v>
      </c>
      <c r="B13" s="261" t="s">
        <v>257</v>
      </c>
      <c r="C13" s="262" t="s">
        <v>250</v>
      </c>
      <c r="D13" s="274">
        <v>350</v>
      </c>
      <c r="E13" s="264">
        <v>3345</v>
      </c>
      <c r="F13" s="265">
        <f t="shared" si="2"/>
        <v>1170750</v>
      </c>
      <c r="G13" s="264"/>
      <c r="H13" s="265">
        <f t="shared" si="0"/>
        <v>1170750</v>
      </c>
      <c r="I13" s="330">
        <f>6+75+218+8</f>
        <v>307</v>
      </c>
      <c r="J13" s="298">
        <v>2530</v>
      </c>
      <c r="K13" s="298">
        <f t="shared" si="3"/>
        <v>776710</v>
      </c>
      <c r="L13" s="272"/>
      <c r="M13" s="298">
        <f t="shared" si="1"/>
        <v>776710</v>
      </c>
    </row>
    <row r="14" spans="1:13" ht="15.75" thickBot="1" x14ac:dyDescent="0.3">
      <c r="A14" s="260">
        <v>137</v>
      </c>
      <c r="B14" s="261" t="s">
        <v>258</v>
      </c>
      <c r="C14" s="262" t="s">
        <v>189</v>
      </c>
      <c r="D14" s="274">
        <v>6</v>
      </c>
      <c r="E14" s="264">
        <v>153000</v>
      </c>
      <c r="F14" s="265">
        <f t="shared" si="2"/>
        <v>918000</v>
      </c>
      <c r="G14" s="264"/>
      <c r="H14" s="265">
        <f t="shared" si="0"/>
        <v>918000</v>
      </c>
      <c r="I14" s="330">
        <v>1</v>
      </c>
      <c r="J14" s="272">
        <v>115000</v>
      </c>
      <c r="K14" s="298">
        <f t="shared" si="3"/>
        <v>115000</v>
      </c>
      <c r="L14" s="272"/>
      <c r="M14" s="298">
        <f t="shared" si="1"/>
        <v>115000</v>
      </c>
    </row>
    <row r="15" spans="1:13" ht="15.75" thickBot="1" x14ac:dyDescent="0.3">
      <c r="A15" s="260">
        <v>138</v>
      </c>
      <c r="B15" s="261" t="s">
        <v>259</v>
      </c>
      <c r="C15" s="262" t="s">
        <v>250</v>
      </c>
      <c r="D15" s="274">
        <v>600</v>
      </c>
      <c r="E15" s="264">
        <v>3345</v>
      </c>
      <c r="F15" s="265">
        <f>+D15*E15</f>
        <v>2007000</v>
      </c>
      <c r="G15" s="264"/>
      <c r="H15" s="265">
        <f t="shared" si="0"/>
        <v>2007000</v>
      </c>
      <c r="I15" s="330">
        <f>84+48.5+1+120+87.5+24+120+54.5+8.5</f>
        <v>548</v>
      </c>
      <c r="J15" s="298">
        <v>2530</v>
      </c>
      <c r="K15" s="298">
        <f>+I15*J15</f>
        <v>1386440</v>
      </c>
      <c r="L15" s="272"/>
      <c r="M15" s="298">
        <f t="shared" si="1"/>
        <v>1386440</v>
      </c>
    </row>
    <row r="16" spans="1:13" ht="15.75" thickBot="1" x14ac:dyDescent="0.3">
      <c r="A16" s="260">
        <v>139</v>
      </c>
      <c r="B16" s="261" t="s">
        <v>260</v>
      </c>
      <c r="C16" s="262" t="s">
        <v>250</v>
      </c>
      <c r="D16" s="274">
        <v>120</v>
      </c>
      <c r="E16" s="264">
        <v>3345</v>
      </c>
      <c r="F16" s="265">
        <f>+D16*E16</f>
        <v>401400</v>
      </c>
      <c r="G16" s="264">
        <v>250000</v>
      </c>
      <c r="H16" s="265">
        <f t="shared" si="0"/>
        <v>651400</v>
      </c>
      <c r="I16" s="330">
        <f>14+32+9.5+12+24+1+6+12</f>
        <v>110.5</v>
      </c>
      <c r="J16" s="298">
        <v>2530</v>
      </c>
      <c r="K16" s="298">
        <f>+I16*J16</f>
        <v>279565</v>
      </c>
      <c r="L16" s="272"/>
      <c r="M16" s="298">
        <f t="shared" si="1"/>
        <v>279565</v>
      </c>
    </row>
    <row r="17" spans="1:15" ht="15.75" thickBot="1" x14ac:dyDescent="0.3">
      <c r="A17" s="260">
        <v>1391</v>
      </c>
      <c r="B17" s="261" t="s">
        <v>261</v>
      </c>
      <c r="C17" s="262"/>
      <c r="D17" s="274"/>
      <c r="E17" s="265"/>
      <c r="F17" s="265">
        <v>0</v>
      </c>
      <c r="G17" s="275">
        <v>50000</v>
      </c>
      <c r="H17" s="265">
        <f t="shared" si="0"/>
        <v>50000</v>
      </c>
      <c r="I17" s="330"/>
      <c r="J17" s="298"/>
      <c r="K17" s="298">
        <v>0</v>
      </c>
      <c r="L17" s="331">
        <f>32980+13360+340+460+115</f>
        <v>47255</v>
      </c>
      <c r="M17" s="298">
        <f t="shared" si="1"/>
        <v>47255</v>
      </c>
    </row>
    <row r="18" spans="1:15" ht="15.75" thickBot="1" x14ac:dyDescent="0.3">
      <c r="A18" s="260">
        <v>130</v>
      </c>
      <c r="B18" s="261" t="s">
        <v>262</v>
      </c>
      <c r="C18" s="262" t="s">
        <v>250</v>
      </c>
      <c r="D18" s="274">
        <v>450</v>
      </c>
      <c r="E18" s="264">
        <v>3345</v>
      </c>
      <c r="F18" s="265">
        <f t="shared" ref="F18" si="4">+D18*E18</f>
        <v>1505250</v>
      </c>
      <c r="G18" s="264">
        <v>350000</v>
      </c>
      <c r="H18" s="265">
        <f t="shared" si="0"/>
        <v>1855250</v>
      </c>
      <c r="I18" s="330">
        <f>195+110.5+124+12.5</f>
        <v>442</v>
      </c>
      <c r="J18" s="298">
        <v>2530</v>
      </c>
      <c r="K18" s="298">
        <f t="shared" si="3"/>
        <v>1118260</v>
      </c>
      <c r="L18" s="272">
        <f>9008+278151+29700+29570</f>
        <v>346429</v>
      </c>
      <c r="M18" s="298">
        <f t="shared" si="1"/>
        <v>1464689</v>
      </c>
    </row>
    <row r="19" spans="1:15" ht="15.75" thickBot="1" x14ac:dyDescent="0.3">
      <c r="A19" s="255">
        <v>14</v>
      </c>
      <c r="B19" s="256" t="s">
        <v>263</v>
      </c>
      <c r="C19" s="276"/>
      <c r="D19" s="277"/>
      <c r="E19" s="278"/>
      <c r="F19" s="279">
        <f>SUM(F20:F22)</f>
        <v>4910875</v>
      </c>
      <c r="G19" s="279">
        <f>SUM(G20:G22)</f>
        <v>0</v>
      </c>
      <c r="H19" s="279">
        <f t="shared" si="0"/>
        <v>4910875</v>
      </c>
      <c r="I19" s="330"/>
      <c r="J19" s="332"/>
      <c r="K19" s="333">
        <f>SUM(K20:K22)</f>
        <v>1965243</v>
      </c>
      <c r="L19" s="333">
        <f>SUM(L20:L22)</f>
        <v>0</v>
      </c>
      <c r="M19" s="333">
        <f t="shared" si="1"/>
        <v>1965243</v>
      </c>
    </row>
    <row r="20" spans="1:15" ht="15.75" thickBot="1" x14ac:dyDescent="0.3">
      <c r="A20" s="260">
        <v>141</v>
      </c>
      <c r="B20" s="261" t="s">
        <v>264</v>
      </c>
      <c r="C20" s="280" t="s">
        <v>250</v>
      </c>
      <c r="D20" s="274">
        <v>375</v>
      </c>
      <c r="E20" s="264">
        <v>3345</v>
      </c>
      <c r="F20" s="281">
        <f>+D20*E20</f>
        <v>1254375</v>
      </c>
      <c r="G20" s="264"/>
      <c r="H20" s="265">
        <f t="shared" si="0"/>
        <v>1254375</v>
      </c>
      <c r="I20" s="330">
        <f>77.5+24+26.5+26.5+18+69.5+12+16+4+52.5</f>
        <v>326.5</v>
      </c>
      <c r="J20" s="334">
        <v>2530</v>
      </c>
      <c r="K20" s="334">
        <f>+I20*J20</f>
        <v>826045</v>
      </c>
      <c r="L20" s="272"/>
      <c r="M20" s="298">
        <f t="shared" si="1"/>
        <v>826045</v>
      </c>
    </row>
    <row r="21" spans="1:15" ht="15.75" thickBot="1" x14ac:dyDescent="0.3">
      <c r="A21" s="260">
        <v>142</v>
      </c>
      <c r="B21" s="261" t="s">
        <v>265</v>
      </c>
      <c r="C21" s="280" t="s">
        <v>189</v>
      </c>
      <c r="D21" s="274">
        <v>5</v>
      </c>
      <c r="E21" s="281">
        <v>706500</v>
      </c>
      <c r="F21" s="281">
        <f>+D21*E21</f>
        <v>3532500</v>
      </c>
      <c r="G21" s="264"/>
      <c r="H21" s="265">
        <f t="shared" si="0"/>
        <v>3532500</v>
      </c>
      <c r="I21" s="330">
        <f>1+1</f>
        <v>2</v>
      </c>
      <c r="J21" s="334">
        <v>534399</v>
      </c>
      <c r="K21" s="334">
        <f>+I21*J21</f>
        <v>1068798</v>
      </c>
      <c r="L21" s="272"/>
      <c r="M21" s="298">
        <f t="shared" si="1"/>
        <v>1068798</v>
      </c>
    </row>
    <row r="22" spans="1:15" ht="15.75" thickBot="1" x14ac:dyDescent="0.3">
      <c r="A22" s="260">
        <v>143</v>
      </c>
      <c r="B22" s="261" t="s">
        <v>266</v>
      </c>
      <c r="C22" s="262" t="s">
        <v>250</v>
      </c>
      <c r="D22" s="274">
        <v>10</v>
      </c>
      <c r="E22" s="281">
        <v>12400</v>
      </c>
      <c r="F22" s="281">
        <f>+D22*E22</f>
        <v>124000</v>
      </c>
      <c r="G22" s="264"/>
      <c r="H22" s="265">
        <f t="shared" si="0"/>
        <v>124000</v>
      </c>
      <c r="I22" s="330">
        <f>8</f>
        <v>8</v>
      </c>
      <c r="J22" s="334">
        <v>8800</v>
      </c>
      <c r="K22" s="334">
        <f>+I22*J22</f>
        <v>70400</v>
      </c>
      <c r="L22" s="272"/>
      <c r="M22" s="298">
        <f t="shared" si="1"/>
        <v>70400</v>
      </c>
    </row>
    <row r="23" spans="1:15" s="115" customFormat="1" ht="15.75" thickBot="1" x14ac:dyDescent="0.3">
      <c r="A23" s="255">
        <v>15</v>
      </c>
      <c r="B23" s="256" t="s">
        <v>267</v>
      </c>
      <c r="C23" s="282" t="s">
        <v>187</v>
      </c>
      <c r="D23" s="273"/>
      <c r="E23" s="283"/>
      <c r="F23" s="259">
        <f>SUM(F24)</f>
        <v>353000</v>
      </c>
      <c r="G23" s="259"/>
      <c r="H23" s="259">
        <f t="shared" si="0"/>
        <v>353000</v>
      </c>
      <c r="I23" s="286"/>
      <c r="J23" s="335"/>
      <c r="K23" s="271">
        <f>SUM(K24)</f>
        <v>0</v>
      </c>
      <c r="L23" s="271"/>
      <c r="M23" s="271">
        <f t="shared" si="1"/>
        <v>0</v>
      </c>
      <c r="O23" s="284"/>
    </row>
    <row r="24" spans="1:15" s="115" customFormat="1" ht="15.75" thickBot="1" x14ac:dyDescent="0.3">
      <c r="A24" s="260">
        <v>151</v>
      </c>
      <c r="B24" s="261" t="s">
        <v>268</v>
      </c>
      <c r="C24" s="280" t="s">
        <v>187</v>
      </c>
      <c r="D24" s="274">
        <v>10</v>
      </c>
      <c r="E24" s="281">
        <v>35300</v>
      </c>
      <c r="F24" s="281">
        <f>+D24*E24</f>
        <v>353000</v>
      </c>
      <c r="G24" s="264"/>
      <c r="H24" s="265">
        <f>+F24+G24</f>
        <v>353000</v>
      </c>
      <c r="I24" s="330">
        <v>0</v>
      </c>
      <c r="J24" s="334">
        <v>26700</v>
      </c>
      <c r="K24" s="334">
        <f>+I24*J24</f>
        <v>0</v>
      </c>
      <c r="L24" s="272"/>
      <c r="M24" s="298">
        <f>+K24+L24</f>
        <v>0</v>
      </c>
      <c r="O24" s="284"/>
    </row>
    <row r="25" spans="1:15" ht="15.75" thickBot="1" x14ac:dyDescent="0.3">
      <c r="A25" s="255">
        <v>16</v>
      </c>
      <c r="B25" s="256" t="s">
        <v>269</v>
      </c>
      <c r="C25" s="285"/>
      <c r="D25" s="273"/>
      <c r="E25" s="258"/>
      <c r="F25" s="259">
        <f>SUM(F26:F29)</f>
        <v>13692775</v>
      </c>
      <c r="G25" s="259">
        <f>SUM(G26:G29)</f>
        <v>838680</v>
      </c>
      <c r="H25" s="259">
        <f>+F25+G25</f>
        <v>14531455</v>
      </c>
      <c r="I25" s="286"/>
      <c r="J25" s="270"/>
      <c r="K25" s="271">
        <f>SUM(K26:K29)</f>
        <v>8827815</v>
      </c>
      <c r="L25" s="271">
        <f>SUM(L26:L29)</f>
        <v>240160.23</v>
      </c>
      <c r="M25" s="271">
        <f>+K25+L25</f>
        <v>9067975.2300000004</v>
      </c>
    </row>
    <row r="26" spans="1:15" ht="24.75" thickBot="1" x14ac:dyDescent="0.3">
      <c r="A26" s="260">
        <v>161</v>
      </c>
      <c r="B26" s="261" t="s">
        <v>270</v>
      </c>
      <c r="C26" s="262" t="s">
        <v>250</v>
      </c>
      <c r="D26" s="274">
        <v>3000</v>
      </c>
      <c r="E26" s="264">
        <v>3345</v>
      </c>
      <c r="F26" s="281">
        <f>+D26*E26</f>
        <v>10035000</v>
      </c>
      <c r="G26" s="265"/>
      <c r="H26" s="265">
        <f t="shared" ref="H26:H28" si="5">+F26+G26</f>
        <v>10035000</v>
      </c>
      <c r="I26" s="330">
        <f>162+274+300+148+148+197.5+141.5+203.5+168.5+201+194+150.5+205.5</f>
        <v>2494</v>
      </c>
      <c r="J26" s="298">
        <v>2530</v>
      </c>
      <c r="K26" s="334">
        <f>+I26*J26</f>
        <v>6309820</v>
      </c>
      <c r="L26" s="298">
        <v>3500</v>
      </c>
      <c r="M26" s="298">
        <f t="shared" si="1"/>
        <v>6313320</v>
      </c>
    </row>
    <row r="27" spans="1:15" ht="15.75" thickBot="1" x14ac:dyDescent="0.3">
      <c r="A27" s="260">
        <v>162</v>
      </c>
      <c r="B27" s="261" t="s">
        <v>271</v>
      </c>
      <c r="C27" s="280" t="s">
        <v>250</v>
      </c>
      <c r="D27" s="274">
        <f>3+6+4+4+3</f>
        <v>20</v>
      </c>
      <c r="E27" s="264">
        <v>3345</v>
      </c>
      <c r="F27" s="281">
        <f>+D27*E27</f>
        <v>66900</v>
      </c>
      <c r="G27" s="265">
        <f>D27*28630</f>
        <v>572600</v>
      </c>
      <c r="H27" s="265">
        <f t="shared" si="5"/>
        <v>639500</v>
      </c>
      <c r="I27" s="330">
        <f>3+6+4+4+3</f>
        <v>20</v>
      </c>
      <c r="J27" s="334">
        <v>2530</v>
      </c>
      <c r="K27" s="334">
        <f>+I27*J27</f>
        <v>50600</v>
      </c>
      <c r="L27" s="298">
        <f>61400+32200+76970+10.23</f>
        <v>170580.23</v>
      </c>
      <c r="M27" s="298">
        <f t="shared" si="1"/>
        <v>221180.23</v>
      </c>
    </row>
    <row r="28" spans="1:15" ht="24.75" thickBot="1" x14ac:dyDescent="0.3">
      <c r="A28" s="260">
        <v>163</v>
      </c>
      <c r="B28" s="261" t="s">
        <v>272</v>
      </c>
      <c r="C28" s="280" t="s">
        <v>250</v>
      </c>
      <c r="D28" s="361">
        <v>950</v>
      </c>
      <c r="E28" s="264">
        <v>3345</v>
      </c>
      <c r="F28" s="281">
        <f>+D28*E28</f>
        <v>3177750</v>
      </c>
      <c r="G28" s="265">
        <v>200000</v>
      </c>
      <c r="H28" s="265">
        <f t="shared" si="5"/>
        <v>3377750</v>
      </c>
      <c r="I28" s="330">
        <f>604+14+2+99.5+152</f>
        <v>871.5</v>
      </c>
      <c r="J28" s="334">
        <v>2530</v>
      </c>
      <c r="K28" s="334">
        <f>+I28*J28</f>
        <v>2204895</v>
      </c>
      <c r="L28" s="298"/>
      <c r="M28" s="298">
        <f t="shared" si="1"/>
        <v>2204895</v>
      </c>
    </row>
    <row r="29" spans="1:15" ht="15.75" thickBot="1" x14ac:dyDescent="0.3">
      <c r="A29" s="260">
        <v>164</v>
      </c>
      <c r="B29" s="261" t="s">
        <v>273</v>
      </c>
      <c r="C29" s="280" t="s">
        <v>250</v>
      </c>
      <c r="D29" s="274">
        <v>25</v>
      </c>
      <c r="E29" s="281">
        <v>16525</v>
      </c>
      <c r="F29" s="281">
        <f>+D29*E29</f>
        <v>413125</v>
      </c>
      <c r="G29" s="265">
        <f>66080</f>
        <v>66080</v>
      </c>
      <c r="H29" s="265">
        <f>+F29+G29</f>
        <v>479205</v>
      </c>
      <c r="I29" s="330">
        <f>21</f>
        <v>21</v>
      </c>
      <c r="J29" s="334">
        <v>12500</v>
      </c>
      <c r="K29" s="334">
        <f>+I29*J29</f>
        <v>262500</v>
      </c>
      <c r="L29" s="298">
        <f>66080</f>
        <v>66080</v>
      </c>
      <c r="M29" s="298">
        <f>+K29+L29</f>
        <v>328580</v>
      </c>
    </row>
    <row r="30" spans="1:15" ht="15.75" thickBot="1" x14ac:dyDescent="0.3">
      <c r="A30" s="266">
        <v>17</v>
      </c>
      <c r="B30" s="267" t="s">
        <v>274</v>
      </c>
      <c r="C30" s="268" t="s">
        <v>250</v>
      </c>
      <c r="D30" s="286">
        <v>150</v>
      </c>
      <c r="E30" s="271">
        <v>3345</v>
      </c>
      <c r="F30" s="271">
        <f>+D30*E30</f>
        <v>501750</v>
      </c>
      <c r="G30" s="270">
        <v>1000000</v>
      </c>
      <c r="H30" s="271">
        <f>+F30+G30</f>
        <v>1501750</v>
      </c>
      <c r="I30" s="286">
        <f>27+12</f>
        <v>39</v>
      </c>
      <c r="J30" s="271">
        <v>2530</v>
      </c>
      <c r="K30" s="271">
        <f>+I30*J30</f>
        <v>98670</v>
      </c>
      <c r="L30" s="270">
        <v>50000</v>
      </c>
      <c r="M30" s="271">
        <f t="shared" si="1"/>
        <v>148670</v>
      </c>
    </row>
    <row r="31" spans="1:15" ht="15.75" thickBot="1" x14ac:dyDescent="0.3">
      <c r="A31" s="266">
        <v>18</v>
      </c>
      <c r="B31" s="287" t="s">
        <v>275</v>
      </c>
      <c r="C31" s="268"/>
      <c r="D31" s="286"/>
      <c r="E31" s="271"/>
      <c r="F31" s="271">
        <f>SUM(F32:F34)</f>
        <v>1039000</v>
      </c>
      <c r="G31" s="271">
        <f>SUM(G32:G34)</f>
        <v>850000</v>
      </c>
      <c r="H31" s="271">
        <f t="shared" ref="H31:H34" si="6">+F31+G31</f>
        <v>1889000</v>
      </c>
      <c r="I31" s="286"/>
      <c r="J31" s="271"/>
      <c r="K31" s="271">
        <f>SUM(K32:K34)</f>
        <v>657800</v>
      </c>
      <c r="L31" s="271"/>
      <c r="M31" s="271">
        <f t="shared" si="1"/>
        <v>657800</v>
      </c>
    </row>
    <row r="32" spans="1:15" ht="15.75" thickBot="1" x14ac:dyDescent="0.3">
      <c r="A32" s="260">
        <v>181</v>
      </c>
      <c r="B32" s="261" t="s">
        <v>73</v>
      </c>
      <c r="C32" s="262" t="s">
        <v>189</v>
      </c>
      <c r="D32" s="288">
        <v>1</v>
      </c>
      <c r="E32" s="265">
        <v>35500</v>
      </c>
      <c r="F32" s="281">
        <f>+D32*E32</f>
        <v>35500</v>
      </c>
      <c r="G32" s="265"/>
      <c r="H32" s="265">
        <f t="shared" si="6"/>
        <v>35500</v>
      </c>
      <c r="I32" s="286">
        <v>0</v>
      </c>
      <c r="J32" s="298">
        <v>26565</v>
      </c>
      <c r="K32" s="334">
        <f>+I32*J32</f>
        <v>0</v>
      </c>
      <c r="L32" s="298"/>
      <c r="M32" s="298">
        <f t="shared" si="1"/>
        <v>0</v>
      </c>
    </row>
    <row r="33" spans="1:15" ht="15.75" thickBot="1" x14ac:dyDescent="0.3">
      <c r="A33" s="260">
        <v>182</v>
      </c>
      <c r="B33" s="261" t="s">
        <v>276</v>
      </c>
      <c r="C33" s="262" t="s">
        <v>250</v>
      </c>
      <c r="D33" s="288">
        <v>150</v>
      </c>
      <c r="E33" s="264">
        <v>3345</v>
      </c>
      <c r="F33" s="281">
        <f>+D33*E33</f>
        <v>501750</v>
      </c>
      <c r="G33" s="265">
        <v>750000</v>
      </c>
      <c r="H33" s="265">
        <f t="shared" si="6"/>
        <v>1251750</v>
      </c>
      <c r="I33" s="286">
        <f>4+157</f>
        <v>161</v>
      </c>
      <c r="J33" s="298">
        <v>2530</v>
      </c>
      <c r="K33" s="334">
        <f>+I33*J33</f>
        <v>407330</v>
      </c>
      <c r="L33" s="298"/>
      <c r="M33" s="298">
        <f t="shared" si="1"/>
        <v>407330</v>
      </c>
    </row>
    <row r="34" spans="1:15" ht="15.75" thickBot="1" x14ac:dyDescent="0.3">
      <c r="A34" s="260">
        <v>183</v>
      </c>
      <c r="B34" s="261" t="s">
        <v>277</v>
      </c>
      <c r="C34" s="262" t="s">
        <v>250</v>
      </c>
      <c r="D34" s="288">
        <v>150</v>
      </c>
      <c r="E34" s="264">
        <v>3345</v>
      </c>
      <c r="F34" s="281">
        <f>+D34*E34</f>
        <v>501750</v>
      </c>
      <c r="G34" s="265">
        <v>100000</v>
      </c>
      <c r="H34" s="265">
        <f t="shared" si="6"/>
        <v>601750</v>
      </c>
      <c r="I34" s="286">
        <f>32.5+30.5+2+5+3+5+3+5+13</f>
        <v>99</v>
      </c>
      <c r="J34" s="298">
        <v>2530</v>
      </c>
      <c r="K34" s="334">
        <f>+I34*J34</f>
        <v>250470</v>
      </c>
      <c r="L34" s="298">
        <f>3417+27000+27000+27000</f>
        <v>84417</v>
      </c>
      <c r="M34" s="298">
        <f t="shared" si="1"/>
        <v>334887</v>
      </c>
    </row>
    <row r="35" spans="1:15" ht="15.75" thickBot="1" x14ac:dyDescent="0.3">
      <c r="A35" s="289" t="s">
        <v>278</v>
      </c>
      <c r="B35" s="290" t="s">
        <v>279</v>
      </c>
      <c r="C35" s="291"/>
      <c r="D35" s="292"/>
      <c r="E35" s="293"/>
      <c r="F35" s="294">
        <f>+F2+F6+F7+F19+F23+F25+F30+F31</f>
        <v>37659100</v>
      </c>
      <c r="G35" s="294">
        <f t="shared" ref="G35" si="7">+G2+G6+G7+G19+G23+G25+G30+G31</f>
        <v>4028180</v>
      </c>
      <c r="H35" s="294">
        <f>+H2+H6+H7+H19+H23+H25+H30+H31</f>
        <v>41687280</v>
      </c>
      <c r="I35" s="330"/>
      <c r="J35" s="272"/>
      <c r="K35" s="271">
        <f>+K2+K6+K7+K19+K23+K25+K30+K31</f>
        <v>22151218</v>
      </c>
      <c r="L35" s="271">
        <f>+L2+L6+L7+L19+L23+L25+L30+L31</f>
        <v>683844.23</v>
      </c>
      <c r="M35" s="271">
        <f>+M2+M6+M7+M19+M23+M25+M30+M31</f>
        <v>22835062.23</v>
      </c>
    </row>
    <row r="36" spans="1:15" ht="36.75" thickBot="1" x14ac:dyDescent="0.3">
      <c r="A36" s="295" t="s">
        <v>237</v>
      </c>
      <c r="B36" s="296" t="s">
        <v>238</v>
      </c>
      <c r="C36" s="296" t="s">
        <v>239</v>
      </c>
      <c r="D36" s="252"/>
      <c r="E36" s="253" t="s">
        <v>240</v>
      </c>
      <c r="F36" s="253" t="s">
        <v>280</v>
      </c>
      <c r="G36" s="253" t="s">
        <v>281</v>
      </c>
      <c r="H36" s="253" t="s">
        <v>282</v>
      </c>
      <c r="I36" s="269"/>
      <c r="J36" s="328" t="s">
        <v>240</v>
      </c>
      <c r="K36" s="328" t="s">
        <v>280</v>
      </c>
      <c r="L36" s="328" t="s">
        <v>281</v>
      </c>
      <c r="M36" s="328" t="s">
        <v>282</v>
      </c>
    </row>
    <row r="37" spans="1:15" ht="15.75" thickBot="1" x14ac:dyDescent="0.3">
      <c r="A37" s="266">
        <v>21</v>
      </c>
      <c r="B37" s="267" t="s">
        <v>283</v>
      </c>
      <c r="C37" s="268" t="s">
        <v>187</v>
      </c>
      <c r="D37" s="297">
        <v>20</v>
      </c>
      <c r="E37" s="271">
        <v>33000</v>
      </c>
      <c r="F37" s="271">
        <f>+D37*E37</f>
        <v>660000</v>
      </c>
      <c r="G37" s="270">
        <v>90000</v>
      </c>
      <c r="H37" s="298">
        <f t="shared" ref="H37:H38" si="8">+F37+G37</f>
        <v>750000</v>
      </c>
      <c r="I37" s="297">
        <f>4+3+1+2</f>
        <v>10</v>
      </c>
      <c r="J37" s="271">
        <v>30250</v>
      </c>
      <c r="K37" s="271">
        <f>+I37*J37</f>
        <v>302500</v>
      </c>
      <c r="L37" s="270">
        <f>41356</f>
        <v>41356</v>
      </c>
      <c r="M37" s="298">
        <f t="shared" ref="M37:M51" si="9">+K37+L37</f>
        <v>343856</v>
      </c>
    </row>
    <row r="38" spans="1:15" ht="15.75" thickBot="1" x14ac:dyDescent="0.3">
      <c r="A38" s="266">
        <v>22</v>
      </c>
      <c r="B38" s="267" t="s">
        <v>284</v>
      </c>
      <c r="C38" s="268" t="s">
        <v>187</v>
      </c>
      <c r="D38" s="297">
        <v>30</v>
      </c>
      <c r="E38" s="271">
        <v>12850</v>
      </c>
      <c r="F38" s="271">
        <f>+D38*E38</f>
        <v>385500</v>
      </c>
      <c r="G38" s="270">
        <v>105000</v>
      </c>
      <c r="H38" s="298">
        <f t="shared" si="8"/>
        <v>490500</v>
      </c>
      <c r="I38" s="297">
        <f>1+1+4+1+1+1+6+6</f>
        <v>21</v>
      </c>
      <c r="J38" s="271">
        <v>9714</v>
      </c>
      <c r="K38" s="271">
        <f>+I38*J38</f>
        <v>203994</v>
      </c>
      <c r="L38" s="270">
        <v>67200</v>
      </c>
      <c r="M38" s="298">
        <f t="shared" si="9"/>
        <v>271194</v>
      </c>
    </row>
    <row r="39" spans="1:15" ht="15.75" thickBot="1" x14ac:dyDescent="0.3">
      <c r="A39" s="266">
        <v>221</v>
      </c>
      <c r="B39" s="267" t="s">
        <v>285</v>
      </c>
      <c r="C39" s="268" t="s">
        <v>187</v>
      </c>
      <c r="D39" s="297">
        <v>20</v>
      </c>
      <c r="E39" s="271">
        <v>3345</v>
      </c>
      <c r="F39" s="271">
        <f>+D39*E39</f>
        <v>66900</v>
      </c>
      <c r="G39" s="270"/>
      <c r="H39" s="298">
        <f>+F39+G39</f>
        <v>66900</v>
      </c>
      <c r="I39" s="297">
        <f>1+5+4+2+6</f>
        <v>18</v>
      </c>
      <c r="J39" s="271">
        <v>2530</v>
      </c>
      <c r="K39" s="271">
        <f>+I39*J39</f>
        <v>45540</v>
      </c>
      <c r="L39" s="270"/>
      <c r="M39" s="298">
        <f>+K39+L39</f>
        <v>45540</v>
      </c>
    </row>
    <row r="40" spans="1:15" ht="15.75" thickBot="1" x14ac:dyDescent="0.3">
      <c r="A40" s="266">
        <v>23</v>
      </c>
      <c r="B40" s="267" t="s">
        <v>286</v>
      </c>
      <c r="C40" s="268" t="s">
        <v>246</v>
      </c>
      <c r="D40" s="364">
        <v>660</v>
      </c>
      <c r="E40" s="271">
        <v>12900</v>
      </c>
      <c r="F40" s="271">
        <f>+D40*E40</f>
        <v>8514000</v>
      </c>
      <c r="G40" s="270"/>
      <c r="H40" s="298">
        <f t="shared" ref="H40" si="10">+F40+G40</f>
        <v>8514000</v>
      </c>
      <c r="I40" s="297">
        <f>10.17+112.36+12.91+1.52+14.09+80.37+10.37+125.74+216.49+23.49+3.32</f>
        <v>610.83000000000004</v>
      </c>
      <c r="J40" s="271">
        <v>11700</v>
      </c>
      <c r="K40" s="271">
        <f>+I40*J40</f>
        <v>7146711.0000000009</v>
      </c>
      <c r="L40" s="270"/>
      <c r="M40" s="298">
        <f t="shared" si="9"/>
        <v>7146711.0000000009</v>
      </c>
    </row>
    <row r="41" spans="1:15" ht="15.75" thickBot="1" x14ac:dyDescent="0.3">
      <c r="A41" s="255">
        <v>24</v>
      </c>
      <c r="B41" s="256" t="s">
        <v>287</v>
      </c>
      <c r="C41" s="257"/>
      <c r="D41" s="299"/>
      <c r="E41" s="258"/>
      <c r="F41" s="259">
        <f>+F42+F43+F44</f>
        <v>13000000</v>
      </c>
      <c r="G41" s="259">
        <f>+G42+G43+G44</f>
        <v>4146234</v>
      </c>
      <c r="H41" s="300">
        <f>+F41+G41</f>
        <v>17146234</v>
      </c>
      <c r="I41" s="297"/>
      <c r="J41" s="270"/>
      <c r="K41" s="271">
        <f>+K42+K43+K44</f>
        <v>12764799</v>
      </c>
      <c r="L41" s="271">
        <v>0</v>
      </c>
      <c r="M41" s="298">
        <f>+K41+L41</f>
        <v>12764799</v>
      </c>
    </row>
    <row r="42" spans="1:15" ht="15.75" thickBot="1" x14ac:dyDescent="0.3">
      <c r="A42" s="260">
        <v>241</v>
      </c>
      <c r="B42" s="261" t="s">
        <v>288</v>
      </c>
      <c r="C42" s="262" t="s">
        <v>250</v>
      </c>
      <c r="D42" s="301"/>
      <c r="E42" s="265">
        <v>16525</v>
      </c>
      <c r="F42" s="265">
        <f>+D42*E42</f>
        <v>0</v>
      </c>
      <c r="G42" s="264"/>
      <c r="H42" s="265">
        <f t="shared" ref="H42:H44" si="11">+F42+G42</f>
        <v>0</v>
      </c>
      <c r="I42" s="336"/>
      <c r="J42" s="298">
        <v>12500</v>
      </c>
      <c r="K42" s="298">
        <f>+I42*J42</f>
        <v>0</v>
      </c>
      <c r="L42" s="272"/>
      <c r="M42" s="298">
        <f t="shared" si="9"/>
        <v>0</v>
      </c>
    </row>
    <row r="43" spans="1:15" ht="15.75" thickBot="1" x14ac:dyDescent="0.3">
      <c r="A43" s="260">
        <v>242</v>
      </c>
      <c r="B43" s="261" t="s">
        <v>289</v>
      </c>
      <c r="C43" s="262" t="s">
        <v>189</v>
      </c>
      <c r="D43" s="301">
        <v>1</v>
      </c>
      <c r="E43" s="265">
        <v>13000000</v>
      </c>
      <c r="F43" s="265">
        <f>D43*E43</f>
        <v>13000000</v>
      </c>
      <c r="G43" s="265">
        <f>2800000+1346234</f>
        <v>4146234</v>
      </c>
      <c r="H43" s="265">
        <f t="shared" si="11"/>
        <v>17146234</v>
      </c>
      <c r="I43" s="336">
        <v>1</v>
      </c>
      <c r="J43" s="298">
        <f>80360+2259444+1019965+958155+815230+1808920+1200055+138250+2594010+18200+1592170+280040</f>
        <v>12764799</v>
      </c>
      <c r="K43" s="298">
        <f>I43*J43</f>
        <v>12764799</v>
      </c>
      <c r="L43" s="298">
        <v>180000</v>
      </c>
      <c r="M43" s="298">
        <f t="shared" si="9"/>
        <v>12944799</v>
      </c>
    </row>
    <row r="44" spans="1:15" ht="15.75" thickBot="1" x14ac:dyDescent="0.3">
      <c r="A44" s="260"/>
      <c r="B44" s="261" t="s">
        <v>290</v>
      </c>
      <c r="C44" s="262" t="s">
        <v>250</v>
      </c>
      <c r="D44" s="301">
        <v>0</v>
      </c>
      <c r="E44" s="265">
        <v>3345</v>
      </c>
      <c r="F44" s="265">
        <f>+D44*E44</f>
        <v>0</v>
      </c>
      <c r="G44" s="265"/>
      <c r="H44" s="265">
        <f t="shared" si="11"/>
        <v>0</v>
      </c>
      <c r="I44" s="336">
        <v>0</v>
      </c>
      <c r="J44" s="298">
        <v>2530</v>
      </c>
      <c r="K44" s="298">
        <f>+I44*J44</f>
        <v>0</v>
      </c>
      <c r="L44" s="298"/>
      <c r="M44" s="298">
        <f t="shared" si="9"/>
        <v>0</v>
      </c>
    </row>
    <row r="45" spans="1:15" s="218" customFormat="1" ht="15.75" thickBot="1" x14ac:dyDescent="0.3">
      <c r="A45" s="362">
        <v>25</v>
      </c>
      <c r="B45" s="367" t="s">
        <v>180</v>
      </c>
      <c r="C45" s="363" t="s">
        <v>246</v>
      </c>
      <c r="D45" s="364">
        <v>1000</v>
      </c>
      <c r="E45" s="271">
        <v>13500</v>
      </c>
      <c r="F45" s="271">
        <f>+D45*E45</f>
        <v>13500000</v>
      </c>
      <c r="G45" s="271"/>
      <c r="H45" s="271">
        <f>+F45+G45</f>
        <v>13500000</v>
      </c>
      <c r="I45" s="364"/>
      <c r="J45" s="365"/>
      <c r="K45" s="365"/>
      <c r="L45" s="365"/>
      <c r="M45" s="365"/>
      <c r="O45" s="366"/>
    </row>
    <row r="46" spans="1:15" s="115" customFormat="1" ht="15.75" thickBot="1" x14ac:dyDescent="0.3">
      <c r="A46" s="266">
        <v>26</v>
      </c>
      <c r="B46" s="267" t="s">
        <v>291</v>
      </c>
      <c r="C46" s="268" t="s">
        <v>250</v>
      </c>
      <c r="D46" s="297">
        <v>50</v>
      </c>
      <c r="E46" s="271">
        <v>3345</v>
      </c>
      <c r="F46" s="271">
        <f>+D46*E46</f>
        <v>167250</v>
      </c>
      <c r="G46" s="271"/>
      <c r="H46" s="271">
        <f>+F46+G46</f>
        <v>167250</v>
      </c>
      <c r="I46" s="297">
        <f>2</f>
        <v>2</v>
      </c>
      <c r="J46" s="271">
        <v>2530</v>
      </c>
      <c r="K46" s="271">
        <f>+I46*J46</f>
        <v>5060</v>
      </c>
      <c r="L46" s="271"/>
      <c r="M46" s="271">
        <f>+K46+L46</f>
        <v>5060</v>
      </c>
      <c r="O46" s="284"/>
    </row>
    <row r="47" spans="1:15" s="115" customFormat="1" ht="15.75" thickBot="1" x14ac:dyDescent="0.3">
      <c r="A47" s="266">
        <v>27</v>
      </c>
      <c r="B47" s="267" t="s">
        <v>292</v>
      </c>
      <c r="C47" s="268" t="s">
        <v>250</v>
      </c>
      <c r="D47" s="302">
        <v>50</v>
      </c>
      <c r="E47" s="271">
        <v>3345</v>
      </c>
      <c r="F47" s="271">
        <f>+D47*E47</f>
        <v>167250</v>
      </c>
      <c r="G47" s="271">
        <v>100000</v>
      </c>
      <c r="H47" s="271">
        <f>+F47+G47</f>
        <v>267250</v>
      </c>
      <c r="I47" s="302">
        <f>28</f>
        <v>28</v>
      </c>
      <c r="J47" s="271">
        <v>2530</v>
      </c>
      <c r="K47" s="271">
        <f>+I47*J47</f>
        <v>70840</v>
      </c>
      <c r="L47" s="271">
        <f>12500</f>
        <v>12500</v>
      </c>
      <c r="M47" s="271">
        <f>+K47+L47</f>
        <v>83340</v>
      </c>
      <c r="O47" s="284"/>
    </row>
    <row r="48" spans="1:15" s="303" customFormat="1" ht="15.75" thickBot="1" x14ac:dyDescent="0.3">
      <c r="A48" s="289" t="s">
        <v>293</v>
      </c>
      <c r="B48" s="290" t="s">
        <v>294</v>
      </c>
      <c r="C48" s="291"/>
      <c r="D48" s="292"/>
      <c r="E48" s="293"/>
      <c r="F48" s="294">
        <f>F37+F38+F39+F40+F41+F46+F47+F45</f>
        <v>36460900</v>
      </c>
      <c r="G48" s="294">
        <f>G37+G38+G40+G41+G46+G47</f>
        <v>4441234</v>
      </c>
      <c r="H48" s="294">
        <f>H37+H38+H39+H40+H41+H45+H46+H47</f>
        <v>40902134</v>
      </c>
      <c r="I48" s="330"/>
      <c r="J48" s="272"/>
      <c r="K48" s="271">
        <f>K37+K38+K39+K40+K41+K46+K47</f>
        <v>20539444</v>
      </c>
      <c r="L48" s="271">
        <f>L37+L38+L40+L41+L46+L47</f>
        <v>121056</v>
      </c>
      <c r="M48" s="271">
        <f>M37+M38+M39+M40+M41+M46+M47</f>
        <v>20660500</v>
      </c>
      <c r="O48" s="304"/>
    </row>
    <row r="49" spans="1:19" s="115" customFormat="1" ht="15.75" thickBot="1" x14ac:dyDescent="0.3">
      <c r="A49" s="305">
        <v>31</v>
      </c>
      <c r="B49" s="306" t="s">
        <v>295</v>
      </c>
      <c r="C49" s="307" t="s">
        <v>250</v>
      </c>
      <c r="D49" s="308">
        <v>350</v>
      </c>
      <c r="E49" s="264">
        <v>3345</v>
      </c>
      <c r="F49" s="309">
        <f>+D49*E49</f>
        <v>1170750</v>
      </c>
      <c r="G49" s="310"/>
      <c r="H49" s="309">
        <f t="shared" ref="H49:H51" si="12">+F49+G49</f>
        <v>1170750</v>
      </c>
      <c r="I49" s="297">
        <f>8.5+15+85.5+15+13+25+12+7.5+69.5+20</f>
        <v>271</v>
      </c>
      <c r="J49" s="271">
        <v>2530</v>
      </c>
      <c r="K49" s="271">
        <f>+I49*J49</f>
        <v>685630</v>
      </c>
      <c r="L49" s="270"/>
      <c r="M49" s="271">
        <f t="shared" si="9"/>
        <v>685630</v>
      </c>
      <c r="O49" s="284"/>
    </row>
    <row r="50" spans="1:19" s="115" customFormat="1" ht="15.75" thickBot="1" x14ac:dyDescent="0.3">
      <c r="A50" s="305">
        <v>32</v>
      </c>
      <c r="B50" s="306" t="s">
        <v>296</v>
      </c>
      <c r="C50" s="307" t="s">
        <v>250</v>
      </c>
      <c r="D50" s="308">
        <v>50</v>
      </c>
      <c r="E50" s="264">
        <v>3345</v>
      </c>
      <c r="F50" s="309">
        <f>+D50*E50</f>
        <v>167250</v>
      </c>
      <c r="G50" s="310"/>
      <c r="H50" s="309">
        <f t="shared" si="12"/>
        <v>167250</v>
      </c>
      <c r="I50" s="297">
        <f>25.5+2+4+1+2</f>
        <v>34.5</v>
      </c>
      <c r="J50" s="270">
        <v>2530</v>
      </c>
      <c r="K50" s="271">
        <f>+I50*J50</f>
        <v>87285</v>
      </c>
      <c r="L50" s="270"/>
      <c r="M50" s="271">
        <f t="shared" si="9"/>
        <v>87285</v>
      </c>
      <c r="O50" s="284"/>
    </row>
    <row r="51" spans="1:19" s="115" customFormat="1" ht="15.75" thickBot="1" x14ac:dyDescent="0.3">
      <c r="A51" s="305">
        <v>33</v>
      </c>
      <c r="B51" s="306" t="s">
        <v>297</v>
      </c>
      <c r="C51" s="307" t="s">
        <v>298</v>
      </c>
      <c r="D51" s="308">
        <v>25</v>
      </c>
      <c r="E51" s="309">
        <v>14750</v>
      </c>
      <c r="F51" s="309">
        <f>+D51*E51</f>
        <v>368750</v>
      </c>
      <c r="G51" s="264">
        <v>100000</v>
      </c>
      <c r="H51" s="309">
        <f t="shared" si="12"/>
        <v>468750</v>
      </c>
      <c r="I51" s="297">
        <f>3+3</f>
        <v>6</v>
      </c>
      <c r="J51" s="271">
        <v>11130</v>
      </c>
      <c r="K51" s="271">
        <f>+I51*J51</f>
        <v>66780</v>
      </c>
      <c r="L51" s="272">
        <f>5530+10800+10800</f>
        <v>27130</v>
      </c>
      <c r="M51" s="271">
        <f t="shared" si="9"/>
        <v>93910</v>
      </c>
      <c r="O51" s="284"/>
    </row>
    <row r="52" spans="1:19" s="115" customFormat="1" ht="15.75" thickBot="1" x14ac:dyDescent="0.3">
      <c r="A52" s="305">
        <v>34</v>
      </c>
      <c r="B52" s="306" t="s">
        <v>299</v>
      </c>
      <c r="C52" s="307" t="s">
        <v>250</v>
      </c>
      <c r="D52" s="308">
        <v>250</v>
      </c>
      <c r="E52" s="264">
        <v>3345</v>
      </c>
      <c r="F52" s="309">
        <f>+D52*E52</f>
        <v>836250</v>
      </c>
      <c r="G52" s="310"/>
      <c r="H52" s="309">
        <f>+F52+G52</f>
        <v>836250</v>
      </c>
      <c r="I52" s="297">
        <f>144+40+18+2+6</f>
        <v>210</v>
      </c>
      <c r="J52" s="271">
        <v>2530</v>
      </c>
      <c r="K52" s="271">
        <f>+I52*J52</f>
        <v>531300</v>
      </c>
      <c r="L52" s="270"/>
      <c r="M52" s="271">
        <f>+K52+L52</f>
        <v>531300</v>
      </c>
      <c r="O52" s="284"/>
    </row>
    <row r="53" spans="1:19" ht="15.75" thickBot="1" x14ac:dyDescent="0.3">
      <c r="A53" s="311" t="s">
        <v>300</v>
      </c>
      <c r="B53" s="290" t="s">
        <v>301</v>
      </c>
      <c r="C53" s="312"/>
      <c r="D53" s="313"/>
      <c r="E53" s="314"/>
      <c r="F53" s="294">
        <f>F50+F49+F51+F52</f>
        <v>2543000</v>
      </c>
      <c r="G53" s="294">
        <f>G50+G49+G51+G52</f>
        <v>100000</v>
      </c>
      <c r="H53" s="294">
        <f>H50+H49+H51+H52</f>
        <v>2643000</v>
      </c>
      <c r="I53" s="297"/>
      <c r="J53" s="270"/>
      <c r="K53" s="271">
        <f>K50+K49+K51+K52</f>
        <v>1370995</v>
      </c>
      <c r="L53" s="271">
        <f>L50+L49+L51+L52</f>
        <v>27130</v>
      </c>
      <c r="M53" s="271">
        <f>M50+M49+M51+M52</f>
        <v>1398125</v>
      </c>
    </row>
    <row r="54" spans="1:19" ht="15.75" thickBot="1" x14ac:dyDescent="0.3">
      <c r="A54" s="305">
        <v>41</v>
      </c>
      <c r="B54" s="306" t="s">
        <v>302</v>
      </c>
      <c r="C54" s="307" t="s">
        <v>250</v>
      </c>
      <c r="D54" s="308">
        <v>250</v>
      </c>
      <c r="E54" s="264">
        <v>3345</v>
      </c>
      <c r="F54" s="265">
        <f>+D54*E54</f>
        <v>836250</v>
      </c>
      <c r="G54" s="309">
        <v>0</v>
      </c>
      <c r="H54" s="265">
        <f t="shared" ref="H54:H59" si="13">+F54+G54</f>
        <v>836250</v>
      </c>
      <c r="I54" s="297">
        <f>59+22.5+34.5+80.5+8+34+4</f>
        <v>242.5</v>
      </c>
      <c r="J54" s="271">
        <v>2530</v>
      </c>
      <c r="K54" s="298">
        <f>+I54*J54</f>
        <v>613525</v>
      </c>
      <c r="L54" s="271">
        <v>0</v>
      </c>
      <c r="M54" s="298">
        <f t="shared" ref="M54:M59" si="14">+K54+L54</f>
        <v>613525</v>
      </c>
    </row>
    <row r="55" spans="1:19" ht="15.75" thickBot="1" x14ac:dyDescent="0.3">
      <c r="A55" s="305">
        <v>42</v>
      </c>
      <c r="B55" s="306" t="s">
        <v>303</v>
      </c>
      <c r="C55" s="307" t="s">
        <v>250</v>
      </c>
      <c r="D55" s="308">
        <v>350</v>
      </c>
      <c r="E55" s="264">
        <v>3345</v>
      </c>
      <c r="F55" s="265">
        <f>+D55*E55</f>
        <v>1170750</v>
      </c>
      <c r="G55" s="265">
        <v>50000</v>
      </c>
      <c r="H55" s="265">
        <f t="shared" si="13"/>
        <v>1220750</v>
      </c>
      <c r="I55" s="297">
        <f>23+15+49+35+53.5+6+30+12</f>
        <v>223.5</v>
      </c>
      <c r="J55" s="271">
        <v>2530</v>
      </c>
      <c r="K55" s="298">
        <f>+I55*J55</f>
        <v>565455</v>
      </c>
      <c r="L55" s="298">
        <f>2470</f>
        <v>2470</v>
      </c>
      <c r="M55" s="298">
        <f t="shared" si="14"/>
        <v>567925</v>
      </c>
    </row>
    <row r="56" spans="1:19" ht="15.75" thickBot="1" x14ac:dyDescent="0.3">
      <c r="A56" s="305">
        <v>44</v>
      </c>
      <c r="B56" s="306" t="s">
        <v>304</v>
      </c>
      <c r="C56" s="307" t="s">
        <v>250</v>
      </c>
      <c r="D56" s="308">
        <v>250</v>
      </c>
      <c r="E56" s="264">
        <v>3345</v>
      </c>
      <c r="F56" s="265">
        <f>+D56*E56</f>
        <v>836250</v>
      </c>
      <c r="G56" s="309">
        <v>50000</v>
      </c>
      <c r="H56" s="265">
        <f t="shared" si="13"/>
        <v>886250</v>
      </c>
      <c r="I56" s="297">
        <f>18+14+22+32.5+14+18+110</f>
        <v>228.5</v>
      </c>
      <c r="J56" s="271">
        <v>2530</v>
      </c>
      <c r="K56" s="298">
        <f>+I56*J56</f>
        <v>578105</v>
      </c>
      <c r="L56" s="271">
        <f>5700+18750</f>
        <v>24450</v>
      </c>
      <c r="M56" s="298">
        <f t="shared" si="14"/>
        <v>602555</v>
      </c>
    </row>
    <row r="57" spans="1:19" ht="15.75" thickBot="1" x14ac:dyDescent="0.3">
      <c r="A57" s="305">
        <v>45</v>
      </c>
      <c r="B57" s="306" t="s">
        <v>305</v>
      </c>
      <c r="C57" s="307"/>
      <c r="D57" s="308"/>
      <c r="E57" s="310"/>
      <c r="F57" s="309">
        <v>0</v>
      </c>
      <c r="G57" s="310"/>
      <c r="H57" s="265">
        <f t="shared" si="13"/>
        <v>0</v>
      </c>
      <c r="I57" s="297"/>
      <c r="J57" s="270"/>
      <c r="K57" s="271">
        <v>0</v>
      </c>
      <c r="L57" s="270"/>
      <c r="M57" s="298">
        <f t="shared" si="14"/>
        <v>0</v>
      </c>
    </row>
    <row r="58" spans="1:19" ht="15.75" thickBot="1" x14ac:dyDescent="0.3">
      <c r="A58" s="305">
        <v>46</v>
      </c>
      <c r="B58" s="306" t="s">
        <v>306</v>
      </c>
      <c r="C58" s="307" t="s">
        <v>250</v>
      </c>
      <c r="D58" s="308">
        <v>1500</v>
      </c>
      <c r="E58" s="264">
        <v>3345</v>
      </c>
      <c r="F58" s="265">
        <f>+D58*E58</f>
        <v>5017500</v>
      </c>
      <c r="G58" s="265">
        <v>500000</v>
      </c>
      <c r="H58" s="265">
        <f t="shared" si="13"/>
        <v>5517500</v>
      </c>
      <c r="I58" s="297">
        <f>171+36.5+42+54+65+55.5+13+130+259+272+88.5+35.5</f>
        <v>1222</v>
      </c>
      <c r="J58" s="270">
        <v>2530</v>
      </c>
      <c r="K58" s="298">
        <f>+I58*J58</f>
        <v>3091660</v>
      </c>
      <c r="L58" s="298">
        <f>3080+1765+8945+4350+82893+4450</f>
        <v>105483</v>
      </c>
      <c r="M58" s="298">
        <f t="shared" si="14"/>
        <v>3197143</v>
      </c>
      <c r="N58" s="315"/>
      <c r="O58" s="316"/>
      <c r="P58" s="317"/>
      <c r="Q58" s="317"/>
      <c r="R58" s="317"/>
    </row>
    <row r="59" spans="1:19" ht="15.75" thickBot="1" x14ac:dyDescent="0.3">
      <c r="A59" s="305">
        <v>47</v>
      </c>
      <c r="B59" s="306" t="s">
        <v>307</v>
      </c>
      <c r="C59" s="307" t="s">
        <v>250</v>
      </c>
      <c r="D59" s="308">
        <v>150</v>
      </c>
      <c r="E59" s="310">
        <v>16525</v>
      </c>
      <c r="F59" s="265">
        <f>+D59*E59</f>
        <v>2478750</v>
      </c>
      <c r="G59" s="265"/>
      <c r="H59" s="265">
        <f t="shared" si="13"/>
        <v>2478750</v>
      </c>
      <c r="I59" s="297">
        <f>9+28+37+10+6+14+3</f>
        <v>107</v>
      </c>
      <c r="J59" s="270">
        <v>12500</v>
      </c>
      <c r="K59" s="298">
        <f>+I59*J59</f>
        <v>1337500</v>
      </c>
      <c r="L59" s="298"/>
      <c r="M59" s="298">
        <f t="shared" si="14"/>
        <v>1337500</v>
      </c>
      <c r="N59" s="471"/>
      <c r="O59" s="471"/>
      <c r="P59" s="471"/>
      <c r="Q59" s="471"/>
      <c r="R59" s="471"/>
      <c r="S59" s="303"/>
    </row>
    <row r="60" spans="1:19" ht="15.75" thickBot="1" x14ac:dyDescent="0.3">
      <c r="A60" s="305">
        <v>48</v>
      </c>
      <c r="B60" s="306" t="s">
        <v>308</v>
      </c>
      <c r="C60" s="307" t="s">
        <v>189</v>
      </c>
      <c r="D60" s="308">
        <v>10</v>
      </c>
      <c r="E60" s="310">
        <v>15000</v>
      </c>
      <c r="F60" s="265">
        <f>+D60*E60</f>
        <v>150000</v>
      </c>
      <c r="G60" s="265"/>
      <c r="H60" s="265">
        <f>+F60+G60</f>
        <v>150000</v>
      </c>
      <c r="I60" s="297">
        <v>6</v>
      </c>
      <c r="J60" s="270">
        <v>15000</v>
      </c>
      <c r="K60" s="298">
        <f>+I60*J60</f>
        <v>90000</v>
      </c>
      <c r="L60" s="298"/>
      <c r="M60" s="298">
        <f>+K60+L60</f>
        <v>90000</v>
      </c>
      <c r="N60" s="318"/>
      <c r="O60" s="319"/>
      <c r="P60" s="318"/>
      <c r="Q60" s="318"/>
      <c r="R60" s="318"/>
      <c r="S60" s="303"/>
    </row>
    <row r="61" spans="1:19" s="115" customFormat="1" ht="24.75" thickBot="1" x14ac:dyDescent="0.3">
      <c r="A61" s="311" t="s">
        <v>309</v>
      </c>
      <c r="B61" s="320" t="s">
        <v>310</v>
      </c>
      <c r="C61" s="321"/>
      <c r="D61" s="322"/>
      <c r="E61" s="323"/>
      <c r="F61" s="294">
        <f>F54+F55+F56+F57+F58+F59+F60</f>
        <v>10489500</v>
      </c>
      <c r="G61" s="294">
        <f>G54+G55+G56+G57+G58+G59+G60</f>
        <v>600000</v>
      </c>
      <c r="H61" s="294">
        <f>H54+H55+H56+H57+H58+H59+H60</f>
        <v>11089500</v>
      </c>
      <c r="I61" s="297"/>
      <c r="J61" s="271"/>
      <c r="K61" s="271">
        <f>K54+K55+K56+K57+K58+K59+K60</f>
        <v>6276245</v>
      </c>
      <c r="L61" s="271">
        <f>L54+L55+L56+L57+L58+L59+L60</f>
        <v>132403</v>
      </c>
      <c r="M61" s="271">
        <f>M54+M55+M56+M57+M58+M59+M60</f>
        <v>6408648</v>
      </c>
      <c r="O61" s="284"/>
    </row>
    <row r="62" spans="1:19" s="115" customFormat="1" ht="15.75" thickBot="1" x14ac:dyDescent="0.3">
      <c r="A62" s="311" t="s">
        <v>311</v>
      </c>
      <c r="B62" s="320" t="s">
        <v>312</v>
      </c>
      <c r="C62" s="321" t="s">
        <v>250</v>
      </c>
      <c r="D62" s="322">
        <v>420</v>
      </c>
      <c r="E62" s="323">
        <f>5264+1513</f>
        <v>6777</v>
      </c>
      <c r="F62" s="323">
        <f>+D62*E62</f>
        <v>2846340</v>
      </c>
      <c r="G62" s="323">
        <v>70000</v>
      </c>
      <c r="H62" s="323">
        <f>+F62+G62</f>
        <v>2916340</v>
      </c>
      <c r="I62" s="297">
        <f>42+38+40+40+44+26+38+36+36+42+30</f>
        <v>412</v>
      </c>
      <c r="J62" s="271">
        <v>3410</v>
      </c>
      <c r="K62" s="271">
        <f>+I62*J62</f>
        <v>1404920</v>
      </c>
      <c r="L62" s="271"/>
      <c r="M62" s="271">
        <f>+K62+L62</f>
        <v>1404920</v>
      </c>
      <c r="O62" s="284"/>
    </row>
    <row r="63" spans="1:19" s="115" customFormat="1" ht="15.75" thickBot="1" x14ac:dyDescent="0.3">
      <c r="A63" s="311" t="s">
        <v>313</v>
      </c>
      <c r="B63" s="320" t="s">
        <v>314</v>
      </c>
      <c r="C63" s="321" t="s">
        <v>250</v>
      </c>
      <c r="D63" s="322">
        <v>1750</v>
      </c>
      <c r="E63" s="323">
        <v>3345</v>
      </c>
      <c r="F63" s="323">
        <f>+D63*E63</f>
        <v>5853750</v>
      </c>
      <c r="G63" s="324">
        <v>200000</v>
      </c>
      <c r="H63" s="323">
        <f>+F63+G63</f>
        <v>6053750</v>
      </c>
      <c r="I63" s="297">
        <f>254+230+240+250+276+240+226+32+3</f>
        <v>1751</v>
      </c>
      <c r="J63" s="271">
        <v>2530</v>
      </c>
      <c r="K63" s="271">
        <f>+I63*J63</f>
        <v>4430030</v>
      </c>
      <c r="L63" s="298">
        <f>192100</f>
        <v>192100</v>
      </c>
      <c r="M63" s="271">
        <f>+K63+L63</f>
        <v>4622130</v>
      </c>
      <c r="O63" s="284"/>
    </row>
    <row r="64" spans="1:19" ht="15.75" thickBot="1" x14ac:dyDescent="0.3">
      <c r="A64" s="255"/>
      <c r="B64" s="256" t="s">
        <v>315</v>
      </c>
      <c r="C64" s="285"/>
      <c r="D64" s="325"/>
      <c r="E64" s="258"/>
      <c r="F64" s="259">
        <f>+F35+F48+F53+F62+F61+F63</f>
        <v>95852590</v>
      </c>
      <c r="G64" s="259">
        <f>+G35+G48+G53+G62+G61+G63</f>
        <v>9439414</v>
      </c>
      <c r="H64" s="259">
        <f>+H35+H48+H53+H62+H61+H63</f>
        <v>105292004</v>
      </c>
      <c r="I64" s="337"/>
      <c r="J64" s="270"/>
      <c r="K64" s="271">
        <f>+K35+K48+K53+K62</f>
        <v>45466577</v>
      </c>
      <c r="L64" s="271">
        <f>+L35+L48+L53+L62</f>
        <v>832030.23</v>
      </c>
      <c r="M64" s="271">
        <f>+M35+M48+M53+M62+M61+M63</f>
        <v>57329385.230000004</v>
      </c>
    </row>
    <row r="67" spans="5:10" x14ac:dyDescent="0.25">
      <c r="E67" s="327"/>
      <c r="J67" s="339"/>
    </row>
  </sheetData>
  <mergeCells count="1">
    <mergeCell ref="N59:R5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G24" sqref="G24"/>
    </sheetView>
  </sheetViews>
  <sheetFormatPr defaultColWidth="9.140625" defaultRowHeight="15" x14ac:dyDescent="0.25"/>
  <cols>
    <col min="1" max="1" width="6.7109375" style="303" bestFit="1" customWidth="1"/>
    <col min="2" max="2" width="41" style="303" bestFit="1" customWidth="1"/>
    <col min="3" max="3" width="5.5703125" style="303" customWidth="1"/>
    <col min="4" max="4" width="8.5703125" style="303" bestFit="1" customWidth="1"/>
    <col min="5" max="5" width="7.7109375" style="303" bestFit="1" customWidth="1"/>
    <col min="6" max="6" width="7.28515625" style="303" bestFit="1" customWidth="1"/>
    <col min="7" max="7" width="7.85546875" style="355" bestFit="1" customWidth="1"/>
    <col min="8" max="8" width="9.5703125" style="303" bestFit="1" customWidth="1"/>
    <col min="9" max="9" width="7.7109375" style="303" bestFit="1" customWidth="1"/>
    <col min="10" max="10" width="9.140625" style="303"/>
    <col min="11" max="11" width="7.85546875" style="303" bestFit="1" customWidth="1"/>
    <col min="12" max="16384" width="9.140625" style="303"/>
  </cols>
  <sheetData>
    <row r="1" spans="1:12" ht="60.75" thickBot="1" x14ac:dyDescent="0.3">
      <c r="A1" s="340" t="s">
        <v>336</v>
      </c>
      <c r="B1" s="341" t="s">
        <v>238</v>
      </c>
      <c r="C1" s="341" t="s">
        <v>239</v>
      </c>
      <c r="D1" s="356" t="s">
        <v>337</v>
      </c>
      <c r="E1" s="356" t="s">
        <v>240</v>
      </c>
      <c r="F1" s="356" t="s">
        <v>333</v>
      </c>
      <c r="G1" s="357" t="s">
        <v>334</v>
      </c>
      <c r="H1" s="328" t="s">
        <v>331</v>
      </c>
      <c r="I1" s="328" t="s">
        <v>240</v>
      </c>
      <c r="J1" s="328" t="s">
        <v>242</v>
      </c>
      <c r="K1" s="342" t="s">
        <v>332</v>
      </c>
    </row>
    <row r="2" spans="1:12" ht="15.75" thickBot="1" x14ac:dyDescent="0.3">
      <c r="A2" s="343">
        <v>1</v>
      </c>
      <c r="B2" s="344" t="s">
        <v>320</v>
      </c>
      <c r="C2" s="345" t="s">
        <v>250</v>
      </c>
      <c r="D2" s="358">
        <v>160</v>
      </c>
      <c r="E2" s="264">
        <v>2790</v>
      </c>
      <c r="F2" s="264"/>
      <c r="G2" s="359">
        <f>D2*E2 +F2</f>
        <v>446400</v>
      </c>
      <c r="H2" s="346">
        <f>11+14.5+46+39+32</f>
        <v>142.5</v>
      </c>
      <c r="I2" s="272">
        <v>2530</v>
      </c>
      <c r="J2" s="272"/>
      <c r="K2" s="347">
        <f>H2*I2 +J2</f>
        <v>360525</v>
      </c>
    </row>
    <row r="3" spans="1:12" ht="15.75" thickBot="1" x14ac:dyDescent="0.3">
      <c r="A3" s="343">
        <v>2</v>
      </c>
      <c r="B3" s="344" t="s">
        <v>321</v>
      </c>
      <c r="C3" s="345" t="s">
        <v>250</v>
      </c>
      <c r="D3" s="358">
        <v>300</v>
      </c>
      <c r="E3" s="264">
        <v>2790</v>
      </c>
      <c r="F3" s="264"/>
      <c r="G3" s="359">
        <f t="shared" ref="G3:G16" si="0">D3*E3 +F3</f>
        <v>837000</v>
      </c>
      <c r="H3" s="346">
        <f>12.5+53+10+10+40.5+18.5+25+42+19+25+14</f>
        <v>269.5</v>
      </c>
      <c r="I3" s="272">
        <v>2530</v>
      </c>
      <c r="J3" s="272"/>
      <c r="K3" s="347">
        <f t="shared" ref="K3:K16" si="1">H3*I3 +J3</f>
        <v>681835</v>
      </c>
    </row>
    <row r="4" spans="1:12" ht="15.75" thickBot="1" x14ac:dyDescent="0.3">
      <c r="A4" s="343"/>
      <c r="B4" s="344" t="s">
        <v>322</v>
      </c>
      <c r="C4" s="345" t="s">
        <v>187</v>
      </c>
      <c r="D4" s="358">
        <v>250</v>
      </c>
      <c r="E4" s="264">
        <v>100</v>
      </c>
      <c r="F4" s="264"/>
      <c r="G4" s="359">
        <f t="shared" si="0"/>
        <v>25000</v>
      </c>
      <c r="H4" s="346">
        <v>194</v>
      </c>
      <c r="I4" s="272">
        <v>100</v>
      </c>
      <c r="J4" s="272"/>
      <c r="K4" s="347">
        <f t="shared" si="1"/>
        <v>19400</v>
      </c>
    </row>
    <row r="5" spans="1:12" ht="15.75" thickBot="1" x14ac:dyDescent="0.3">
      <c r="A5" s="343">
        <v>3</v>
      </c>
      <c r="B5" s="344" t="s">
        <v>323</v>
      </c>
      <c r="C5" s="345" t="s">
        <v>250</v>
      </c>
      <c r="D5" s="358">
        <v>35</v>
      </c>
      <c r="E5" s="264">
        <v>2790</v>
      </c>
      <c r="F5" s="264">
        <v>30000</v>
      </c>
      <c r="G5" s="359">
        <f t="shared" si="0"/>
        <v>127650</v>
      </c>
      <c r="H5" s="346">
        <f>14</f>
        <v>14</v>
      </c>
      <c r="I5" s="272">
        <v>2530</v>
      </c>
      <c r="J5" s="272">
        <f>50*170+110*150</f>
        <v>25000</v>
      </c>
      <c r="K5" s="347">
        <f t="shared" si="1"/>
        <v>60420</v>
      </c>
    </row>
    <row r="6" spans="1:12" ht="15.75" thickBot="1" x14ac:dyDescent="0.3">
      <c r="A6" s="343">
        <v>4</v>
      </c>
      <c r="B6" s="344" t="s">
        <v>257</v>
      </c>
      <c r="C6" s="345" t="s">
        <v>250</v>
      </c>
      <c r="D6" s="358">
        <v>100</v>
      </c>
      <c r="E6" s="265">
        <v>2790</v>
      </c>
      <c r="F6" s="265"/>
      <c r="G6" s="359">
        <f t="shared" si="0"/>
        <v>279000</v>
      </c>
      <c r="H6" s="346">
        <f>5+28+33+20</f>
        <v>86</v>
      </c>
      <c r="I6" s="298">
        <v>2530</v>
      </c>
      <c r="J6" s="298"/>
      <c r="K6" s="347">
        <f t="shared" si="1"/>
        <v>217580</v>
      </c>
    </row>
    <row r="7" spans="1:12" ht="15.75" thickBot="1" x14ac:dyDescent="0.3">
      <c r="A7" s="343">
        <v>5</v>
      </c>
      <c r="B7" s="344" t="s">
        <v>324</v>
      </c>
      <c r="C7" s="345" t="s">
        <v>250</v>
      </c>
      <c r="D7" s="358">
        <v>200</v>
      </c>
      <c r="E7" s="265">
        <v>2790</v>
      </c>
      <c r="F7" s="265"/>
      <c r="G7" s="359">
        <f t="shared" si="0"/>
        <v>558000</v>
      </c>
      <c r="H7" s="346">
        <f>21+2+14+8+122+12+3</f>
        <v>182</v>
      </c>
      <c r="I7" s="298">
        <v>2530</v>
      </c>
      <c r="J7" s="298"/>
      <c r="K7" s="347">
        <f t="shared" si="1"/>
        <v>460460</v>
      </c>
    </row>
    <row r="8" spans="1:12" ht="15.75" thickBot="1" x14ac:dyDescent="0.3">
      <c r="A8" s="343">
        <v>6</v>
      </c>
      <c r="B8" s="344" t="s">
        <v>264</v>
      </c>
      <c r="C8" s="348" t="s">
        <v>250</v>
      </c>
      <c r="D8" s="358">
        <v>120</v>
      </c>
      <c r="E8" s="281">
        <v>2790</v>
      </c>
      <c r="F8" s="281"/>
      <c r="G8" s="359">
        <f t="shared" si="0"/>
        <v>334800</v>
      </c>
      <c r="H8" s="346">
        <f>72+25</f>
        <v>97</v>
      </c>
      <c r="I8" s="334">
        <v>2530</v>
      </c>
      <c r="J8" s="334"/>
      <c r="K8" s="347">
        <f t="shared" si="1"/>
        <v>245410</v>
      </c>
    </row>
    <row r="9" spans="1:12" ht="15.75" thickBot="1" x14ac:dyDescent="0.3">
      <c r="A9" s="343">
        <v>7</v>
      </c>
      <c r="B9" s="344" t="s">
        <v>265</v>
      </c>
      <c r="C9" s="348" t="s">
        <v>187</v>
      </c>
      <c r="D9" s="358"/>
      <c r="E9" s="281">
        <v>37850</v>
      </c>
      <c r="F9" s="281"/>
      <c r="G9" s="359">
        <f t="shared" si="0"/>
        <v>0</v>
      </c>
      <c r="H9" s="346"/>
      <c r="I9" s="334">
        <v>34400</v>
      </c>
      <c r="J9" s="334"/>
      <c r="K9" s="347">
        <f t="shared" si="1"/>
        <v>0</v>
      </c>
    </row>
    <row r="10" spans="1:12" ht="15.75" thickBot="1" x14ac:dyDescent="0.3">
      <c r="A10" s="343">
        <v>8</v>
      </c>
      <c r="B10" s="344" t="s">
        <v>266</v>
      </c>
      <c r="C10" s="345" t="s">
        <v>250</v>
      </c>
      <c r="D10" s="358">
        <v>0</v>
      </c>
      <c r="E10" s="281">
        <v>9700</v>
      </c>
      <c r="F10" s="281"/>
      <c r="G10" s="359">
        <f t="shared" si="0"/>
        <v>0</v>
      </c>
      <c r="H10" s="346">
        <v>0</v>
      </c>
      <c r="I10" s="334">
        <v>8800</v>
      </c>
      <c r="J10" s="334"/>
      <c r="K10" s="347">
        <f t="shared" si="1"/>
        <v>0</v>
      </c>
    </row>
    <row r="11" spans="1:12" ht="15.75" thickBot="1" x14ac:dyDescent="0.3">
      <c r="A11" s="343">
        <v>9</v>
      </c>
      <c r="B11" s="344" t="s">
        <v>325</v>
      </c>
      <c r="C11" s="345" t="s">
        <v>250</v>
      </c>
      <c r="D11" s="358">
        <v>20</v>
      </c>
      <c r="E11" s="281">
        <v>2790</v>
      </c>
      <c r="F11" s="281">
        <v>375000</v>
      </c>
      <c r="G11" s="359">
        <f t="shared" si="0"/>
        <v>430800</v>
      </c>
      <c r="H11" s="346">
        <f>14+3</f>
        <v>17</v>
      </c>
      <c r="I11" s="334">
        <v>2530</v>
      </c>
      <c r="J11" s="334">
        <v>362000</v>
      </c>
      <c r="K11" s="347">
        <f t="shared" si="1"/>
        <v>405010</v>
      </c>
    </row>
    <row r="12" spans="1:12" ht="15.75" thickBot="1" x14ac:dyDescent="0.3">
      <c r="A12" s="343">
        <v>10</v>
      </c>
      <c r="B12" s="344" t="s">
        <v>326</v>
      </c>
      <c r="C12" s="345" t="s">
        <v>250</v>
      </c>
      <c r="D12" s="358">
        <v>100</v>
      </c>
      <c r="E12" s="265">
        <v>2790</v>
      </c>
      <c r="F12" s="265">
        <v>0</v>
      </c>
      <c r="G12" s="359">
        <f t="shared" si="0"/>
        <v>279000</v>
      </c>
      <c r="H12" s="346">
        <f>38.5+12+18+20</f>
        <v>88.5</v>
      </c>
      <c r="I12" s="298">
        <v>2530</v>
      </c>
      <c r="J12" s="298">
        <v>0</v>
      </c>
      <c r="K12" s="347">
        <f t="shared" si="1"/>
        <v>223905</v>
      </c>
    </row>
    <row r="13" spans="1:12" ht="15.75" thickBot="1" x14ac:dyDescent="0.3">
      <c r="A13" s="343">
        <v>11</v>
      </c>
      <c r="B13" s="344" t="s">
        <v>327</v>
      </c>
      <c r="C13" s="348" t="s">
        <v>187</v>
      </c>
      <c r="D13" s="358">
        <v>0</v>
      </c>
      <c r="E13" s="281">
        <v>220000</v>
      </c>
      <c r="F13" s="281"/>
      <c r="G13" s="359">
        <f t="shared" si="0"/>
        <v>0</v>
      </c>
      <c r="H13" s="346">
        <v>0</v>
      </c>
      <c r="I13" s="334">
        <v>220000</v>
      </c>
      <c r="J13" s="334"/>
      <c r="K13" s="347">
        <f t="shared" si="1"/>
        <v>0</v>
      </c>
    </row>
    <row r="14" spans="1:12" ht="15.75" thickBot="1" x14ac:dyDescent="0.3">
      <c r="A14" s="343">
        <v>12</v>
      </c>
      <c r="B14" s="344" t="s">
        <v>328</v>
      </c>
      <c r="C14" s="348" t="s">
        <v>250</v>
      </c>
      <c r="D14" s="358">
        <v>75</v>
      </c>
      <c r="E14" s="264">
        <v>2790</v>
      </c>
      <c r="F14" s="264">
        <v>25000</v>
      </c>
      <c r="G14" s="359">
        <f t="shared" si="0"/>
        <v>234250</v>
      </c>
      <c r="H14" s="346">
        <f>10+48+1</f>
        <v>59</v>
      </c>
      <c r="I14" s="272">
        <v>2530</v>
      </c>
      <c r="J14" s="272">
        <f>22997</f>
        <v>22997</v>
      </c>
      <c r="K14" s="347">
        <f t="shared" si="1"/>
        <v>172267</v>
      </c>
    </row>
    <row r="15" spans="1:12" s="350" customFormat="1" ht="15.75" thickBot="1" x14ac:dyDescent="0.3">
      <c r="A15" s="343">
        <v>13</v>
      </c>
      <c r="B15" s="344" t="s">
        <v>329</v>
      </c>
      <c r="C15" s="345" t="s">
        <v>250</v>
      </c>
      <c r="D15" s="358">
        <v>200</v>
      </c>
      <c r="E15" s="264">
        <v>2790</v>
      </c>
      <c r="F15" s="264"/>
      <c r="G15" s="359">
        <f t="shared" si="0"/>
        <v>558000</v>
      </c>
      <c r="H15" s="346">
        <f>6+1</f>
        <v>7</v>
      </c>
      <c r="I15" s="272">
        <v>2530</v>
      </c>
      <c r="J15" s="272"/>
      <c r="K15" s="347">
        <f t="shared" si="1"/>
        <v>17710</v>
      </c>
      <c r="L15" s="349"/>
    </row>
    <row r="16" spans="1:12" s="350" customFormat="1" ht="15.75" thickBot="1" x14ac:dyDescent="0.3">
      <c r="A16" s="343">
        <v>14</v>
      </c>
      <c r="B16" s="344" t="s">
        <v>330</v>
      </c>
      <c r="C16" s="345" t="s">
        <v>250</v>
      </c>
      <c r="D16" s="360">
        <v>10</v>
      </c>
      <c r="E16" s="264">
        <v>13750</v>
      </c>
      <c r="F16" s="264"/>
      <c r="G16" s="359">
        <f t="shared" si="0"/>
        <v>137500</v>
      </c>
      <c r="H16" s="351">
        <f>1+1+1</f>
        <v>3</v>
      </c>
      <c r="I16" s="272">
        <v>12500</v>
      </c>
      <c r="J16" s="272"/>
      <c r="K16" s="347">
        <f t="shared" si="1"/>
        <v>37500</v>
      </c>
      <c r="L16" s="349"/>
    </row>
    <row r="17" spans="1:12" ht="15.75" thickBot="1" x14ac:dyDescent="0.3">
      <c r="A17" s="266"/>
      <c r="B17" s="352" t="s">
        <v>315</v>
      </c>
      <c r="C17" s="352"/>
      <c r="D17" s="353"/>
      <c r="E17" s="270"/>
      <c r="F17" s="354">
        <f>SUM(F2:F16)</f>
        <v>430000</v>
      </c>
      <c r="G17" s="354">
        <f>SUM(G2:G16)</f>
        <v>4247400</v>
      </c>
      <c r="H17" s="353"/>
      <c r="I17" s="270"/>
      <c r="J17" s="354">
        <f>SUM(J2:J16)</f>
        <v>409997</v>
      </c>
      <c r="K17" s="354">
        <f>SUM(K2:K16)</f>
        <v>2902022</v>
      </c>
      <c r="L17" s="3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L29" sqref="L29"/>
    </sheetView>
  </sheetViews>
  <sheetFormatPr defaultRowHeight="15" x14ac:dyDescent="0.25"/>
  <cols>
    <col min="1" max="1" width="16.85546875" customWidth="1"/>
    <col min="2" max="2" width="7.85546875" customWidth="1"/>
    <col min="3" max="3" width="10.28515625" customWidth="1"/>
    <col min="4" max="4" width="9.140625" customWidth="1"/>
    <col min="5" max="5" width="9.85546875" customWidth="1"/>
    <col min="6" max="6" width="9.28515625" customWidth="1"/>
    <col min="7" max="7" width="9.5703125" customWidth="1"/>
    <col min="8" max="8" width="9.85546875" customWidth="1"/>
    <col min="9" max="9" width="9.28515625" customWidth="1"/>
    <col min="12" max="12" width="19.42578125" bestFit="1" customWidth="1"/>
    <col min="14" max="16" width="11.85546875" bestFit="1" customWidth="1"/>
  </cols>
  <sheetData>
    <row r="1" spans="1:16" ht="15.75" thickBot="1" x14ac:dyDescent="0.3"/>
    <row r="2" spans="1:16" ht="19.5" thickBot="1" x14ac:dyDescent="0.3">
      <c r="A2" s="377" t="s">
        <v>338</v>
      </c>
      <c r="B2" s="476" t="s">
        <v>339</v>
      </c>
      <c r="C2" s="477"/>
      <c r="D2" s="476" t="s">
        <v>340</v>
      </c>
      <c r="E2" s="477"/>
      <c r="F2" s="476" t="s">
        <v>341</v>
      </c>
      <c r="G2" s="478"/>
      <c r="H2" s="479" t="s">
        <v>342</v>
      </c>
      <c r="I2" s="478"/>
      <c r="L2" s="480" t="s">
        <v>343</v>
      </c>
      <c r="M2" s="480"/>
      <c r="N2" s="480"/>
      <c r="O2" s="480"/>
      <c r="P2" s="480"/>
    </row>
    <row r="3" spans="1:16" ht="60" x14ac:dyDescent="0.25">
      <c r="A3" s="378"/>
      <c r="B3" s="379" t="s">
        <v>250</v>
      </c>
      <c r="C3" s="380" t="s">
        <v>344</v>
      </c>
      <c r="D3" s="379" t="s">
        <v>250</v>
      </c>
      <c r="E3" s="379" t="s">
        <v>344</v>
      </c>
      <c r="F3" s="379" t="s">
        <v>345</v>
      </c>
      <c r="G3" s="381" t="s">
        <v>344</v>
      </c>
      <c r="H3" s="380" t="s">
        <v>250</v>
      </c>
      <c r="I3" s="381" t="s">
        <v>346</v>
      </c>
      <c r="L3" s="382"/>
      <c r="M3" s="383" t="s">
        <v>347</v>
      </c>
      <c r="N3" s="384" t="s">
        <v>348</v>
      </c>
      <c r="O3" s="384" t="s">
        <v>349</v>
      </c>
      <c r="P3" s="385" t="s">
        <v>350</v>
      </c>
    </row>
    <row r="4" spans="1:16" ht="18.75" x14ac:dyDescent="0.3">
      <c r="A4" s="386" t="s">
        <v>351</v>
      </c>
      <c r="B4" s="387">
        <v>156</v>
      </c>
      <c r="C4" s="387">
        <v>1</v>
      </c>
      <c r="D4" s="387">
        <v>331.5</v>
      </c>
      <c r="E4" s="387">
        <v>1</v>
      </c>
      <c r="F4" s="387">
        <v>54.5</v>
      </c>
      <c r="G4" s="388">
        <v>0</v>
      </c>
      <c r="H4" s="389">
        <f>I4*2*8</f>
        <v>336</v>
      </c>
      <c r="I4" s="388">
        <v>21</v>
      </c>
      <c r="L4" s="382" t="s">
        <v>352</v>
      </c>
      <c r="M4" s="383" t="s">
        <v>353</v>
      </c>
      <c r="N4" s="390">
        <v>1424</v>
      </c>
      <c r="O4" s="391">
        <v>1424</v>
      </c>
      <c r="P4" s="392">
        <v>0</v>
      </c>
    </row>
    <row r="5" spans="1:16" ht="18.75" x14ac:dyDescent="0.3">
      <c r="A5" s="386" t="s">
        <v>354</v>
      </c>
      <c r="B5" s="387">
        <v>137</v>
      </c>
      <c r="C5" s="387">
        <v>0</v>
      </c>
      <c r="D5" s="387">
        <v>293</v>
      </c>
      <c r="E5" s="387">
        <v>0</v>
      </c>
      <c r="F5" s="387">
        <v>100.5</v>
      </c>
      <c r="G5" s="388">
        <v>11</v>
      </c>
      <c r="H5" s="389">
        <f t="shared" ref="H5:H15" si="0">I5*2*8</f>
        <v>304</v>
      </c>
      <c r="I5" s="388">
        <v>19</v>
      </c>
      <c r="L5" s="382" t="s">
        <v>355</v>
      </c>
      <c r="M5" s="383" t="s">
        <v>353</v>
      </c>
      <c r="N5" s="390">
        <f>1215+2*12</f>
        <v>1239</v>
      </c>
      <c r="O5" s="391">
        <f>2418.5+10*12</f>
        <v>2538.5</v>
      </c>
      <c r="P5" s="392">
        <f>1065.5/2+105*3</f>
        <v>847.75</v>
      </c>
    </row>
    <row r="6" spans="1:16" ht="18.75" x14ac:dyDescent="0.3">
      <c r="A6" s="386" t="s">
        <v>356</v>
      </c>
      <c r="B6" s="387">
        <v>144.5</v>
      </c>
      <c r="C6" s="387">
        <v>0</v>
      </c>
      <c r="D6" s="387">
        <v>264.5</v>
      </c>
      <c r="E6" s="387">
        <v>1</v>
      </c>
      <c r="F6" s="387">
        <v>131.5</v>
      </c>
      <c r="G6" s="388">
        <v>18</v>
      </c>
      <c r="H6" s="389">
        <f t="shared" si="0"/>
        <v>304</v>
      </c>
      <c r="I6" s="388">
        <v>19</v>
      </c>
      <c r="L6" s="393" t="s">
        <v>357</v>
      </c>
      <c r="M6" s="394"/>
      <c r="N6" s="395">
        <f>SUM(N4:N5)</f>
        <v>2663</v>
      </c>
      <c r="O6" s="395">
        <f>SUM(O4:O5)</f>
        <v>3962.5</v>
      </c>
      <c r="P6" s="396">
        <f>SUM(P4:P5)</f>
        <v>847.75</v>
      </c>
    </row>
    <row r="7" spans="1:16" ht="18.75" x14ac:dyDescent="0.3">
      <c r="A7" s="386" t="s">
        <v>358</v>
      </c>
      <c r="B7" s="387">
        <v>120</v>
      </c>
      <c r="C7" s="387">
        <v>0</v>
      </c>
      <c r="D7" s="387">
        <v>250.5</v>
      </c>
      <c r="E7" s="387">
        <v>0</v>
      </c>
      <c r="F7" s="387">
        <v>139</v>
      </c>
      <c r="G7" s="388">
        <v>11</v>
      </c>
      <c r="H7" s="389">
        <f t="shared" si="0"/>
        <v>272</v>
      </c>
      <c r="I7" s="388">
        <v>17</v>
      </c>
      <c r="L7" s="382"/>
      <c r="M7" s="383"/>
      <c r="N7" s="397"/>
      <c r="O7" s="398"/>
      <c r="P7" s="399"/>
    </row>
    <row r="8" spans="1:16" ht="18.75" x14ac:dyDescent="0.3">
      <c r="A8" s="386" t="s">
        <v>359</v>
      </c>
      <c r="B8" s="387">
        <v>136.5</v>
      </c>
      <c r="C8" s="387">
        <v>1</v>
      </c>
      <c r="D8" s="387">
        <v>265.5</v>
      </c>
      <c r="E8" s="387">
        <v>4</v>
      </c>
      <c r="F8" s="387">
        <v>112</v>
      </c>
      <c r="G8" s="388">
        <v>16</v>
      </c>
      <c r="H8" s="389">
        <f t="shared" si="0"/>
        <v>352</v>
      </c>
      <c r="I8" s="388">
        <v>22</v>
      </c>
      <c r="M8" s="254"/>
      <c r="N8" s="254"/>
      <c r="O8" s="254"/>
      <c r="P8" s="254"/>
    </row>
    <row r="9" spans="1:16" ht="18.75" x14ac:dyDescent="0.3">
      <c r="A9" s="386" t="s">
        <v>360</v>
      </c>
      <c r="B9" s="387">
        <v>50.5</v>
      </c>
      <c r="C9" s="387">
        <v>0</v>
      </c>
      <c r="D9" s="387">
        <v>67</v>
      </c>
      <c r="E9" s="387">
        <v>0</v>
      </c>
      <c r="F9" s="387">
        <v>13</v>
      </c>
      <c r="G9" s="388">
        <v>1</v>
      </c>
      <c r="H9" s="389">
        <f t="shared" si="0"/>
        <v>80</v>
      </c>
      <c r="I9" s="388">
        <v>5</v>
      </c>
      <c r="L9" s="480" t="s">
        <v>361</v>
      </c>
      <c r="M9" s="480"/>
      <c r="N9" s="480"/>
      <c r="O9" s="480"/>
      <c r="P9" s="480"/>
    </row>
    <row r="10" spans="1:16" ht="60.75" x14ac:dyDescent="0.3">
      <c r="A10" s="386" t="s">
        <v>362</v>
      </c>
      <c r="B10" s="387">
        <v>6</v>
      </c>
      <c r="C10" s="387">
        <v>0</v>
      </c>
      <c r="D10" s="387">
        <v>1</v>
      </c>
      <c r="E10" s="387">
        <v>0</v>
      </c>
      <c r="F10" s="387">
        <v>41.5</v>
      </c>
      <c r="G10" s="388">
        <v>0</v>
      </c>
      <c r="H10" s="389">
        <f t="shared" si="0"/>
        <v>0</v>
      </c>
      <c r="I10" s="388">
        <v>0</v>
      </c>
      <c r="L10" s="382"/>
      <c r="M10" s="383" t="s">
        <v>347</v>
      </c>
      <c r="N10" s="384" t="s">
        <v>348</v>
      </c>
      <c r="O10" s="384" t="s">
        <v>349</v>
      </c>
      <c r="P10" s="385" t="s">
        <v>350</v>
      </c>
    </row>
    <row r="11" spans="1:16" ht="18.75" x14ac:dyDescent="0.3">
      <c r="A11" s="386" t="s">
        <v>363</v>
      </c>
      <c r="B11" s="387">
        <v>6</v>
      </c>
      <c r="C11" s="387">
        <v>0</v>
      </c>
      <c r="D11" s="387">
        <v>37.5</v>
      </c>
      <c r="E11" s="387">
        <v>0</v>
      </c>
      <c r="F11" s="387">
        <v>84</v>
      </c>
      <c r="G11" s="388">
        <v>4</v>
      </c>
      <c r="H11" s="389">
        <f t="shared" si="0"/>
        <v>0</v>
      </c>
      <c r="I11" s="388">
        <v>0</v>
      </c>
      <c r="L11" s="382" t="s">
        <v>352</v>
      </c>
      <c r="M11" s="383" t="s">
        <v>353</v>
      </c>
      <c r="N11" s="390">
        <v>1424</v>
      </c>
      <c r="O11" s="391">
        <v>1424</v>
      </c>
      <c r="P11" s="392">
        <v>0</v>
      </c>
    </row>
    <row r="12" spans="1:16" ht="18.75" x14ac:dyDescent="0.3">
      <c r="A12" s="386" t="s">
        <v>364</v>
      </c>
      <c r="B12" s="387">
        <v>124</v>
      </c>
      <c r="C12" s="387">
        <v>0</v>
      </c>
      <c r="D12" s="387">
        <v>279.5</v>
      </c>
      <c r="E12" s="387">
        <v>0</v>
      </c>
      <c r="F12" s="387">
        <v>93</v>
      </c>
      <c r="G12" s="388">
        <v>14</v>
      </c>
      <c r="H12" s="389">
        <f t="shared" si="0"/>
        <v>336</v>
      </c>
      <c r="I12" s="388">
        <v>21</v>
      </c>
      <c r="L12" s="382" t="s">
        <v>355</v>
      </c>
      <c r="M12" s="383" t="s">
        <v>353</v>
      </c>
      <c r="N12" s="390">
        <v>1239</v>
      </c>
      <c r="O12" s="391">
        <v>2538.5</v>
      </c>
      <c r="P12" s="392">
        <v>847.75</v>
      </c>
    </row>
    <row r="13" spans="1:16" ht="18.75" x14ac:dyDescent="0.3">
      <c r="A13" s="386" t="s">
        <v>365</v>
      </c>
      <c r="B13" s="387">
        <v>113</v>
      </c>
      <c r="C13" s="387">
        <v>0</v>
      </c>
      <c r="D13" s="387">
        <v>289.5</v>
      </c>
      <c r="E13" s="387">
        <v>0</v>
      </c>
      <c r="F13" s="387">
        <v>128.5</v>
      </c>
      <c r="G13" s="388">
        <v>16</v>
      </c>
      <c r="H13" s="389">
        <f t="shared" si="0"/>
        <v>288</v>
      </c>
      <c r="I13" s="388">
        <v>18</v>
      </c>
      <c r="L13" s="393" t="s">
        <v>357</v>
      </c>
      <c r="M13" s="394"/>
      <c r="N13" s="395">
        <f>SUM(N11:N12)</f>
        <v>2663</v>
      </c>
      <c r="O13" s="395">
        <f>SUM(O11:O12)</f>
        <v>3962.5</v>
      </c>
      <c r="P13" s="396">
        <f>SUM(P11:P12)</f>
        <v>847.75</v>
      </c>
    </row>
    <row r="14" spans="1:16" ht="18.75" x14ac:dyDescent="0.3">
      <c r="A14" s="386" t="s">
        <v>366</v>
      </c>
      <c r="B14" s="387">
        <v>132.5</v>
      </c>
      <c r="C14" s="387">
        <v>0</v>
      </c>
      <c r="D14" s="387">
        <v>279</v>
      </c>
      <c r="E14" s="387">
        <v>1</v>
      </c>
      <c r="F14" s="387">
        <v>67</v>
      </c>
      <c r="G14" s="388">
        <v>14</v>
      </c>
      <c r="H14" s="389">
        <f t="shared" si="0"/>
        <v>320</v>
      </c>
      <c r="I14" s="388">
        <v>20</v>
      </c>
      <c r="L14" s="382"/>
      <c r="M14" s="383"/>
      <c r="N14" s="397"/>
      <c r="O14" s="398"/>
      <c r="P14" s="399"/>
    </row>
    <row r="15" spans="1:16" ht="18.75" x14ac:dyDescent="0.3">
      <c r="A15" s="386" t="s">
        <v>367</v>
      </c>
      <c r="B15" s="387">
        <v>89</v>
      </c>
      <c r="C15" s="387">
        <v>0</v>
      </c>
      <c r="D15" s="387">
        <v>60</v>
      </c>
      <c r="E15" s="387">
        <v>3</v>
      </c>
      <c r="F15" s="387">
        <v>101</v>
      </c>
      <c r="G15" s="388">
        <v>0</v>
      </c>
      <c r="H15" s="389">
        <f t="shared" si="0"/>
        <v>256</v>
      </c>
      <c r="I15" s="388">
        <v>16</v>
      </c>
      <c r="L15" s="382" t="s">
        <v>368</v>
      </c>
      <c r="M15" s="383"/>
      <c r="N15" s="400">
        <f>32068520/4</f>
        <v>8017130</v>
      </c>
      <c r="O15" s="400">
        <f>32068520/4*3</f>
        <v>24051390</v>
      </c>
      <c r="P15" s="401">
        <v>14147670</v>
      </c>
    </row>
    <row r="16" spans="1:16" ht="19.5" thickBot="1" x14ac:dyDescent="0.35">
      <c r="A16" s="402" t="s">
        <v>191</v>
      </c>
      <c r="B16" s="403">
        <f t="shared" ref="B16:I16" si="1">SUM(B4:B15)</f>
        <v>1215</v>
      </c>
      <c r="C16" s="403">
        <f t="shared" si="1"/>
        <v>2</v>
      </c>
      <c r="D16" s="403">
        <f t="shared" si="1"/>
        <v>2418.5</v>
      </c>
      <c r="E16" s="403">
        <f t="shared" si="1"/>
        <v>10</v>
      </c>
      <c r="F16" s="403">
        <f t="shared" si="1"/>
        <v>1065.5</v>
      </c>
      <c r="G16" s="404">
        <f t="shared" si="1"/>
        <v>105</v>
      </c>
      <c r="H16" s="405">
        <f t="shared" si="1"/>
        <v>2848</v>
      </c>
      <c r="I16" s="404">
        <f t="shared" si="1"/>
        <v>178</v>
      </c>
      <c r="L16" s="382"/>
      <c r="M16" s="383"/>
      <c r="N16" s="406"/>
      <c r="O16" s="407"/>
      <c r="P16" s="408"/>
    </row>
    <row r="17" spans="12:16" x14ac:dyDescent="0.25">
      <c r="L17" s="409" t="s">
        <v>369</v>
      </c>
      <c r="M17" s="104"/>
      <c r="N17" s="410">
        <f>N15/N13</f>
        <v>3010.5632745024409</v>
      </c>
      <c r="O17" s="410">
        <f>O15/O13</f>
        <v>6069.7514195583599</v>
      </c>
      <c r="P17" s="411">
        <f>P15/P13</f>
        <v>16688.493069890887</v>
      </c>
    </row>
    <row r="18" spans="12:16" ht="29.45" customHeight="1" x14ac:dyDescent="0.25">
      <c r="L18" s="472" t="s">
        <v>370</v>
      </c>
      <c r="M18" s="473"/>
      <c r="N18" s="412">
        <f>10590096/4</f>
        <v>2647524</v>
      </c>
      <c r="O18" s="412">
        <f>10590096/4*3</f>
        <v>7942572</v>
      </c>
      <c r="P18" s="413">
        <v>6257784</v>
      </c>
    </row>
    <row r="19" spans="12:16" x14ac:dyDescent="0.25">
      <c r="L19" s="382" t="s">
        <v>371</v>
      </c>
      <c r="M19" s="383"/>
      <c r="N19" s="414">
        <f>N18+N15</f>
        <v>10664654</v>
      </c>
      <c r="O19" s="414">
        <f>O18+O15</f>
        <v>31993962</v>
      </c>
      <c r="P19" s="415">
        <f>P18+P15</f>
        <v>20405454</v>
      </c>
    </row>
    <row r="20" spans="12:16" ht="43.15" customHeight="1" x14ac:dyDescent="0.25">
      <c r="L20" s="472" t="s">
        <v>377</v>
      </c>
      <c r="M20" s="473"/>
      <c r="N20" s="414">
        <f>10650000/4</f>
        <v>2662500</v>
      </c>
      <c r="O20" s="414">
        <f>10650000/4*3</f>
        <v>7987500</v>
      </c>
      <c r="P20" s="415"/>
    </row>
    <row r="21" spans="12:16" x14ac:dyDescent="0.25">
      <c r="L21" s="472" t="s">
        <v>378</v>
      </c>
      <c r="M21" s="473"/>
      <c r="N21" s="414">
        <f>7200000/4</f>
        <v>1800000</v>
      </c>
      <c r="O21" s="414">
        <f>7200000/4*3</f>
        <v>5400000</v>
      </c>
      <c r="P21" s="415"/>
    </row>
    <row r="22" spans="12:16" x14ac:dyDescent="0.25">
      <c r="L22" s="382" t="s">
        <v>379</v>
      </c>
      <c r="M22" s="383"/>
      <c r="N22" s="414"/>
      <c r="O22" s="414">
        <v>156804</v>
      </c>
      <c r="P22" s="415"/>
    </row>
    <row r="23" spans="12:16" s="115" customFormat="1" x14ac:dyDescent="0.25">
      <c r="L23" s="481" t="s">
        <v>380</v>
      </c>
      <c r="M23" s="482"/>
      <c r="N23" s="416">
        <f>N19-N20-N21-N22</f>
        <v>6202154</v>
      </c>
      <c r="O23" s="416">
        <f t="shared" ref="O23:P23" si="2">O19-O20-O21-O22</f>
        <v>18449658</v>
      </c>
      <c r="P23" s="416">
        <f t="shared" si="2"/>
        <v>20405454</v>
      </c>
    </row>
    <row r="24" spans="12:16" x14ac:dyDescent="0.25">
      <c r="L24" s="382"/>
      <c r="M24" s="383"/>
      <c r="N24" s="414"/>
      <c r="O24" s="414"/>
      <c r="P24" s="415"/>
    </row>
    <row r="25" spans="12:16" x14ac:dyDescent="0.25">
      <c r="L25" s="382"/>
      <c r="M25" s="383"/>
      <c r="N25" s="414"/>
      <c r="O25" s="414"/>
      <c r="P25" s="415"/>
    </row>
    <row r="26" spans="12:16" x14ac:dyDescent="0.25">
      <c r="L26" s="474" t="s">
        <v>372</v>
      </c>
      <c r="M26" s="475"/>
      <c r="N26" s="416">
        <f>N23/N12</f>
        <v>5005.7740112994352</v>
      </c>
      <c r="O26" s="416">
        <f t="shared" ref="O26:P26" si="3">O23/O12</f>
        <v>7267.9369706519601</v>
      </c>
      <c r="P26" s="416">
        <f t="shared" si="3"/>
        <v>24070.131524624005</v>
      </c>
    </row>
    <row r="27" spans="12:16" x14ac:dyDescent="0.25">
      <c r="L27" s="382" t="s">
        <v>376</v>
      </c>
      <c r="M27" s="383"/>
      <c r="N27" s="414">
        <v>5966</v>
      </c>
      <c r="O27" s="414">
        <v>12019</v>
      </c>
      <c r="P27" s="415">
        <v>24070</v>
      </c>
    </row>
    <row r="28" spans="12:16" ht="15.75" thickBot="1" x14ac:dyDescent="0.3">
      <c r="L28" s="417" t="s">
        <v>373</v>
      </c>
      <c r="M28" s="418"/>
      <c r="N28" s="419">
        <v>6500</v>
      </c>
      <c r="O28" s="419">
        <v>17000</v>
      </c>
      <c r="P28" s="420">
        <v>25000</v>
      </c>
    </row>
    <row r="39" spans="12:16" x14ac:dyDescent="0.25">
      <c r="N39" s="254"/>
      <c r="O39" s="254"/>
      <c r="P39" s="254"/>
    </row>
    <row r="40" spans="12:16" x14ac:dyDescent="0.25">
      <c r="N40" s="2"/>
    </row>
    <row r="41" spans="12:16" x14ac:dyDescent="0.25">
      <c r="L41" s="254"/>
    </row>
    <row r="42" spans="12:16" x14ac:dyDescent="0.25">
      <c r="N42" s="254"/>
    </row>
  </sheetData>
  <mergeCells count="11">
    <mergeCell ref="L18:M18"/>
    <mergeCell ref="L26:M26"/>
    <mergeCell ref="B2:C2"/>
    <mergeCell ref="D2:E2"/>
    <mergeCell ref="F2:G2"/>
    <mergeCell ref="H2:I2"/>
    <mergeCell ref="L2:P2"/>
    <mergeCell ref="L9:P9"/>
    <mergeCell ref="L20:M20"/>
    <mergeCell ref="L21:M21"/>
    <mergeCell ref="L23:M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Pénzügyi terv</vt:lpstr>
      <vt:lpstr>Fejlesztési részletező</vt:lpstr>
      <vt:lpstr>Konyha</vt:lpstr>
      <vt:lpstr>Település üzemeltetés</vt:lpstr>
      <vt:lpstr>Temető</vt:lpstr>
      <vt:lpstr>Sportlétesítmények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 András</dc:creator>
  <cp:lastModifiedBy>Lukács Erika</cp:lastModifiedBy>
  <cp:lastPrinted>2020-02-25T16:55:33Z</cp:lastPrinted>
  <dcterms:created xsi:type="dcterms:W3CDTF">2018-01-03T12:55:56Z</dcterms:created>
  <dcterms:modified xsi:type="dcterms:W3CDTF">2020-03-05T09:43:02Z</dcterms:modified>
</cp:coreProperties>
</file>